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4020" yWindow="984" windowWidth="18192" windowHeight="10248" tabRatio="794" activeTab="2"/>
  </bookViews>
  <sheets>
    <sheet name="P&amp;L" sheetId="1" r:id="rId1"/>
    <sheet name="Volumes" sheetId="2" r:id="rId2"/>
    <sheet name="Capital Plan" sheetId="3" r:id="rId3"/>
    <sheet name="Liquidity and Funding Plan" sheetId="4" r:id="rId4"/>
    <sheet name="2014 Data" sheetId="5" r:id="rId5"/>
    <sheet name="KPI" sheetId="6" r:id="rId6"/>
    <sheet name="SHUSA" sheetId="8" r:id="rId7"/>
    <sheet name="SBNA" sheetId="9" r:id="rId8"/>
    <sheet name="Sheet1" sheetId="7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DATES">[1]Inputs!$6:$6</definedName>
    <definedName name="DIVIDENDS">[1]Dividends!$B$17:$AD$19</definedName>
    <definedName name="DTA">[1]DTA!$B$30:$AD$38</definedName>
    <definedName name="INPUTS">[1]Inputs!$7:$36</definedName>
    <definedName name="OUTPUT">[1]Outputs!$B$2:$AD$61</definedName>
  </definedNames>
  <calcPr calcId="145621"/>
</workbook>
</file>

<file path=xl/calcChain.xml><?xml version="1.0" encoding="utf-8"?>
<calcChain xmlns="http://schemas.openxmlformats.org/spreadsheetml/2006/main">
  <c r="T10" i="3" l="1"/>
  <c r="S10" i="3"/>
  <c r="O10" i="3"/>
  <c r="N10" i="3"/>
  <c r="B7" i="3"/>
  <c r="I61" i="2"/>
  <c r="H61" i="2"/>
  <c r="D61" i="2"/>
  <c r="C61" i="2"/>
  <c r="V13" i="4"/>
  <c r="I37" i="2"/>
  <c r="H37" i="2"/>
  <c r="D37" i="2"/>
  <c r="C37" i="2"/>
  <c r="I38" i="2"/>
  <c r="H38" i="2"/>
  <c r="D38" i="2"/>
  <c r="C38" i="2"/>
  <c r="I35" i="2"/>
  <c r="H35" i="2"/>
  <c r="D35" i="2"/>
  <c r="C35" i="2"/>
  <c r="I34" i="2"/>
  <c r="H34" i="2"/>
  <c r="D34" i="2"/>
  <c r="C34" i="2"/>
  <c r="AK38" i="2"/>
  <c r="AJ38" i="2"/>
  <c r="C7" i="6" l="1"/>
  <c r="B31" i="5"/>
  <c r="B28" i="5"/>
  <c r="B27" i="5"/>
  <c r="B26" i="5"/>
  <c r="C19" i="5"/>
  <c r="B19" i="5"/>
  <c r="C18" i="5"/>
  <c r="E18" i="5" s="1"/>
  <c r="B18" i="5"/>
  <c r="C17" i="5"/>
  <c r="B17" i="5"/>
  <c r="C16" i="5"/>
  <c r="E16" i="5" s="1"/>
  <c r="B16" i="5"/>
  <c r="C15" i="5"/>
  <c r="B15" i="5"/>
  <c r="E15" i="5" s="1"/>
  <c r="C14" i="5"/>
  <c r="B14" i="5"/>
  <c r="C12" i="5"/>
  <c r="B12" i="5"/>
  <c r="C11" i="5"/>
  <c r="E11" i="5" s="1"/>
  <c r="B11" i="5"/>
  <c r="C10" i="5"/>
  <c r="B10" i="5"/>
  <c r="C8" i="5"/>
  <c r="B8" i="5"/>
  <c r="C7" i="5"/>
  <c r="B7" i="5"/>
  <c r="C6" i="5"/>
  <c r="E6" i="5" s="1"/>
  <c r="B6" i="5"/>
  <c r="C5" i="5"/>
  <c r="B5" i="5"/>
  <c r="E5" i="5" l="1"/>
  <c r="E7" i="5"/>
  <c r="E10" i="5"/>
  <c r="E12" i="5"/>
  <c r="C11" i="6" s="1"/>
  <c r="E8" i="5" l="1"/>
  <c r="C10" i="6" s="1"/>
  <c r="C12" i="6" s="1"/>
  <c r="E14" i="5"/>
  <c r="AE14" i="3"/>
  <c r="AD14" i="3"/>
  <c r="AE13" i="3"/>
  <c r="AD13" i="3"/>
  <c r="AE12" i="3"/>
  <c r="AD12" i="3"/>
  <c r="Z14" i="3"/>
  <c r="Z13" i="3"/>
  <c r="Z12" i="3"/>
  <c r="E19" i="5" l="1"/>
  <c r="E17" i="5"/>
  <c r="AP13" i="4"/>
  <c r="AO13" i="4"/>
  <c r="AK13" i="4"/>
  <c r="AJ13" i="4"/>
  <c r="AP9" i="3"/>
  <c r="AO9" i="3"/>
  <c r="AK9" i="3"/>
  <c r="AJ9" i="3"/>
  <c r="AU14" i="3" l="1"/>
  <c r="Y14" i="3" s="1"/>
  <c r="AU13" i="3"/>
  <c r="Y13" i="3" s="1"/>
  <c r="AU12" i="3"/>
  <c r="Y12" i="3" s="1"/>
  <c r="T31" i="5" l="1"/>
  <c r="T27" i="5"/>
  <c r="T26" i="5"/>
  <c r="U27" i="5" l="1"/>
  <c r="C27" i="5" s="1"/>
  <c r="E27" i="5" s="1"/>
  <c r="O31" i="5" l="1"/>
  <c r="Q31" i="5" s="1"/>
  <c r="T28" i="5"/>
  <c r="W27" i="5"/>
  <c r="W18" i="5"/>
  <c r="W15" i="5"/>
  <c r="W11" i="5"/>
  <c r="W7" i="5"/>
  <c r="W6" i="5"/>
  <c r="W12" i="5" l="1"/>
  <c r="W8" i="5"/>
  <c r="W5" i="5"/>
  <c r="W10" i="5"/>
  <c r="H26" i="5"/>
  <c r="W14" i="5" l="1"/>
  <c r="H27" i="5" l="1"/>
  <c r="O27" i="5" l="1"/>
  <c r="Q27" i="5" s="1"/>
  <c r="N18" i="5"/>
  <c r="N16" i="5"/>
  <c r="N15" i="5"/>
  <c r="N11" i="5"/>
  <c r="N10" i="5"/>
  <c r="N7" i="5"/>
  <c r="N6" i="5"/>
  <c r="N5" i="5"/>
  <c r="N23" i="5"/>
  <c r="N28" i="5" l="1"/>
  <c r="N12" i="5"/>
  <c r="N8" i="5"/>
  <c r="H6" i="5"/>
  <c r="H15" i="5"/>
  <c r="N14" i="5" l="1"/>
  <c r="N17" i="5" s="1"/>
  <c r="N19" i="5" s="1"/>
  <c r="H18" i="5" l="1"/>
  <c r="H23" i="5"/>
  <c r="H16" i="5"/>
  <c r="H11" i="5"/>
  <c r="H10" i="5"/>
  <c r="H7" i="5"/>
  <c r="H5" i="5"/>
  <c r="H28" i="5" l="1"/>
  <c r="H12" i="5"/>
  <c r="H8" i="5"/>
  <c r="H14" i="5" s="1"/>
  <c r="H17" i="5" s="1"/>
  <c r="H19" i="5" s="1"/>
  <c r="AE43" i="2"/>
  <c r="AD43" i="2"/>
  <c r="Z43" i="2"/>
  <c r="Y43" i="2"/>
  <c r="AP14" i="3"/>
  <c r="AP13" i="3"/>
  <c r="AP12" i="3"/>
  <c r="AO14" i="3"/>
  <c r="AO13" i="3"/>
  <c r="AO12" i="3"/>
  <c r="AK14" i="3"/>
  <c r="AK13" i="3"/>
  <c r="AK12" i="3"/>
  <c r="T30" i="1" l="1"/>
  <c r="S30" i="1"/>
  <c r="O30" i="1"/>
  <c r="N30" i="1"/>
  <c r="AJ34" i="1"/>
  <c r="T31" i="1"/>
  <c r="S31" i="1"/>
  <c r="O31" i="1"/>
  <c r="N31" i="1"/>
  <c r="K63" i="2" l="1"/>
  <c r="F63" i="2"/>
  <c r="T21" i="4" l="1"/>
  <c r="S21" i="4"/>
  <c r="O21" i="4"/>
  <c r="N21" i="4"/>
  <c r="I14" i="3"/>
  <c r="H14" i="3"/>
  <c r="I13" i="3"/>
  <c r="H13" i="3"/>
  <c r="I12" i="3"/>
  <c r="H12" i="3"/>
  <c r="D14" i="3"/>
  <c r="C14" i="3"/>
  <c r="D13" i="3"/>
  <c r="C13" i="3"/>
  <c r="D12" i="3"/>
  <c r="C12" i="3"/>
  <c r="C11" i="3" s="1"/>
  <c r="C43" i="2" l="1"/>
  <c r="W16" i="5"/>
  <c r="F14" i="3"/>
  <c r="F12" i="3"/>
  <c r="F13" i="3"/>
  <c r="AE18" i="2"/>
  <c r="AD18" i="2"/>
  <c r="Z18" i="2"/>
  <c r="Y18" i="2"/>
  <c r="AP9" i="4" l="1"/>
  <c r="AE20" i="2"/>
  <c r="AJ9" i="4"/>
  <c r="Y20" i="2"/>
  <c r="AK9" i="4"/>
  <c r="Z20" i="2"/>
  <c r="AO9" i="4"/>
  <c r="AD20" i="2"/>
  <c r="W19" i="5"/>
  <c r="W17" i="5"/>
  <c r="AJ18" i="2"/>
  <c r="C18" i="2" s="1"/>
  <c r="AK18" i="2"/>
  <c r="D18" i="2" s="1"/>
  <c r="AO18" i="2"/>
  <c r="H18" i="2" s="1"/>
  <c r="AP18" i="2"/>
  <c r="I18" i="2" s="1"/>
  <c r="AG19" i="2"/>
  <c r="AB19" i="2"/>
  <c r="AG18" i="2"/>
  <c r="AB18" i="2"/>
  <c r="AG17" i="2"/>
  <c r="AB17" i="2"/>
  <c r="AG16" i="2"/>
  <c r="AB16" i="2"/>
  <c r="AG15" i="2"/>
  <c r="AB15" i="2"/>
  <c r="AP19" i="2"/>
  <c r="I19" i="2" s="1"/>
  <c r="K19" i="2" s="1"/>
  <c r="AO19" i="2"/>
  <c r="H19" i="2" s="1"/>
  <c r="AK19" i="2"/>
  <c r="D19" i="2" s="1"/>
  <c r="AJ19" i="2"/>
  <c r="C19" i="2" s="1"/>
  <c r="AP17" i="2"/>
  <c r="I17" i="2" s="1"/>
  <c r="K17" i="2" s="1"/>
  <c r="AO17" i="2"/>
  <c r="H17" i="2" s="1"/>
  <c r="AK17" i="2"/>
  <c r="D17" i="2" s="1"/>
  <c r="AJ17" i="2"/>
  <c r="C17" i="2" s="1"/>
  <c r="AP15" i="2"/>
  <c r="I15" i="2" s="1"/>
  <c r="AO15" i="2"/>
  <c r="H15" i="2" s="1"/>
  <c r="AK15" i="2"/>
  <c r="D15" i="2" s="1"/>
  <c r="AJ15" i="2"/>
  <c r="C15" i="2" s="1"/>
  <c r="K18" i="2" l="1"/>
  <c r="F18" i="2"/>
  <c r="F15" i="2"/>
  <c r="F17" i="2"/>
  <c r="F19" i="2"/>
  <c r="AR18" i="2"/>
  <c r="AM18" i="2"/>
  <c r="AR19" i="2"/>
  <c r="AM19" i="2"/>
  <c r="AR17" i="2"/>
  <c r="AM17" i="2"/>
  <c r="DD31" i="1"/>
  <c r="DC31" i="1"/>
  <c r="CY31" i="1"/>
  <c r="CX31" i="1"/>
  <c r="CS34" i="1" l="1"/>
  <c r="CR34" i="1"/>
  <c r="CN34" i="1"/>
  <c r="CM34" i="1"/>
  <c r="DD34" i="1"/>
  <c r="DC34" i="1"/>
  <c r="CY34" i="1"/>
  <c r="CX34" i="1"/>
  <c r="FL34" i="1"/>
  <c r="FM34" i="1"/>
  <c r="FQ34" i="1"/>
  <c r="FR34" i="1"/>
  <c r="CH34" i="1" l="1"/>
  <c r="CG34" i="1"/>
  <c r="CC34" i="1"/>
  <c r="CB34" i="1"/>
  <c r="FA34" i="1" l="1"/>
  <c r="EP34" i="1" s="1"/>
  <c r="FB34" i="1"/>
  <c r="EQ34" i="1" s="1"/>
  <c r="FF34" i="1"/>
  <c r="EU34" i="1" s="1"/>
  <c r="FG34" i="1"/>
  <c r="EV34" i="1" s="1"/>
  <c r="AG56" i="2"/>
  <c r="AG55" i="2"/>
  <c r="AG54" i="2"/>
  <c r="AG53" i="2"/>
  <c r="AB56" i="2"/>
  <c r="AB55" i="2"/>
  <c r="AB54" i="2"/>
  <c r="AB53" i="2"/>
  <c r="AE78" i="2"/>
  <c r="AD78" i="2"/>
  <c r="Z78" i="2"/>
  <c r="Y78" i="2"/>
  <c r="AE75" i="2"/>
  <c r="AD75" i="2"/>
  <c r="Z75" i="2"/>
  <c r="Y75" i="2"/>
  <c r="AG63" i="2"/>
  <c r="AB63" i="2"/>
  <c r="AD57" i="2"/>
  <c r="Z57" i="2"/>
  <c r="Y57" i="2"/>
  <c r="AG43" i="2"/>
  <c r="AB43" i="2"/>
  <c r="AD37" i="2"/>
  <c r="AD39" i="2" s="1"/>
  <c r="AE37" i="2"/>
  <c r="AE39" i="2" s="1"/>
  <c r="Z37" i="2"/>
  <c r="Z39" i="2" s="1"/>
  <c r="AB23" i="2"/>
  <c r="AG14" i="2"/>
  <c r="AG11" i="2"/>
  <c r="AB11" i="2"/>
  <c r="AG10" i="2"/>
  <c r="AB10" i="2"/>
  <c r="AG9" i="2"/>
  <c r="AD12" i="2"/>
  <c r="Z12" i="2"/>
  <c r="Y12" i="2"/>
  <c r="AD22" i="2" l="1"/>
  <c r="AO10" i="3"/>
  <c r="AO31" i="1" s="1"/>
  <c r="EU31" i="1" s="1"/>
  <c r="Z22" i="2"/>
  <c r="Z24" i="2" s="1"/>
  <c r="Z70" i="2" s="1"/>
  <c r="AK10" i="3"/>
  <c r="AV10" i="3" s="1"/>
  <c r="AD24" i="2"/>
  <c r="AD35" i="2" s="1"/>
  <c r="AD36" i="2" s="1"/>
  <c r="BV31" i="1"/>
  <c r="AD31" i="1" s="1"/>
  <c r="H31" i="1" s="1"/>
  <c r="AB12" i="2"/>
  <c r="Z65" i="2"/>
  <c r="Z71" i="2"/>
  <c r="AB57" i="2"/>
  <c r="Y65" i="2"/>
  <c r="Y71" i="2"/>
  <c r="AD71" i="2"/>
  <c r="AD65" i="2"/>
  <c r="AB9" i="2"/>
  <c r="AE12" i="2"/>
  <c r="AG12" i="2" s="1"/>
  <c r="AB14" i="2"/>
  <c r="Y37" i="2"/>
  <c r="Y39" i="2" s="1"/>
  <c r="AG23" i="2"/>
  <c r="AE57" i="2"/>
  <c r="AG57" i="2" s="1"/>
  <c r="AZ10" i="3" l="1"/>
  <c r="AZ31" i="1"/>
  <c r="AK31" i="1"/>
  <c r="EQ31" i="1" s="1"/>
  <c r="AE22" i="2"/>
  <c r="AP10" i="3"/>
  <c r="AB20" i="2"/>
  <c r="Y22" i="2"/>
  <c r="O26" i="5" s="1"/>
  <c r="Q26" i="5" s="1"/>
  <c r="AJ10" i="3"/>
  <c r="AD45" i="2"/>
  <c r="AD70" i="2"/>
  <c r="AD72" i="2" s="1"/>
  <c r="BR31" i="1"/>
  <c r="Z31" i="1" s="1"/>
  <c r="D31" i="1" s="1"/>
  <c r="Z45" i="2"/>
  <c r="Z35" i="2"/>
  <c r="Z36" i="2" s="1"/>
  <c r="AG20" i="2"/>
  <c r="Z72" i="2"/>
  <c r="AE71" i="2"/>
  <c r="AE65" i="2"/>
  <c r="AG65" i="2" s="1"/>
  <c r="AB65" i="2"/>
  <c r="AV31" i="1" l="1"/>
  <c r="Y24" i="2"/>
  <c r="O28" i="5" s="1"/>
  <c r="Q28" i="5" s="1"/>
  <c r="AB22" i="2"/>
  <c r="AP31" i="1"/>
  <c r="BA10" i="3"/>
  <c r="AU10" i="3"/>
  <c r="AJ31" i="1"/>
  <c r="AG22" i="2"/>
  <c r="AE24" i="2"/>
  <c r="EK34" i="1"/>
  <c r="EJ34" i="1"/>
  <c r="EF34" i="1"/>
  <c r="EE34" i="1"/>
  <c r="EV31" i="1" l="1"/>
  <c r="BA31" i="1"/>
  <c r="BW31" i="1"/>
  <c r="AE31" i="1" s="1"/>
  <c r="I31" i="1" s="1"/>
  <c r="EP31" i="1"/>
  <c r="BQ31" i="1"/>
  <c r="Y31" i="1" s="1"/>
  <c r="C31" i="1" s="1"/>
  <c r="AU31" i="1"/>
  <c r="Y35" i="2"/>
  <c r="Y36" i="2" s="1"/>
  <c r="Y70" i="2"/>
  <c r="Y72" i="2" s="1"/>
  <c r="Y45" i="2"/>
  <c r="AB24" i="2"/>
  <c r="AG24" i="2"/>
  <c r="AE70" i="2"/>
  <c r="AE72" i="2" s="1"/>
  <c r="AE35" i="2"/>
  <c r="AE36" i="2" s="1"/>
  <c r="AE45" i="2"/>
  <c r="DZ34" i="1"/>
  <c r="DY34" i="1"/>
  <c r="DU34" i="1"/>
  <c r="DT34" i="1"/>
  <c r="DO34" i="1"/>
  <c r="DN34" i="1"/>
  <c r="BV41" i="1" s="1"/>
  <c r="DJ34" i="1"/>
  <c r="BR41" i="1" s="1"/>
  <c r="DI34" i="1"/>
  <c r="BQ41" i="1" s="1"/>
  <c r="BW41" i="1" l="1"/>
  <c r="I78" i="2" l="1"/>
  <c r="H78" i="2"/>
  <c r="D78" i="2"/>
  <c r="C78" i="2"/>
  <c r="I75" i="2"/>
  <c r="H75" i="2"/>
  <c r="D75" i="2"/>
  <c r="C75" i="2"/>
  <c r="T78" i="2"/>
  <c r="S78" i="2"/>
  <c r="O78" i="2"/>
  <c r="N78" i="2"/>
  <c r="T75" i="2"/>
  <c r="S75" i="2"/>
  <c r="O75" i="2"/>
  <c r="N75" i="2"/>
  <c r="AP78" i="2"/>
  <c r="AO78" i="2"/>
  <c r="AK78" i="2"/>
  <c r="AJ78" i="2"/>
  <c r="AP75" i="2"/>
  <c r="AO75" i="2"/>
  <c r="AK75" i="2"/>
  <c r="AJ75" i="2"/>
  <c r="V63" i="2"/>
  <c r="Q63" i="2"/>
  <c r="AR63" i="2"/>
  <c r="AM63" i="2"/>
  <c r="AP41" i="2"/>
  <c r="AO41" i="2"/>
  <c r="AK41" i="2"/>
  <c r="AJ41" i="2"/>
  <c r="BQ34" i="1" l="1"/>
  <c r="Y34" i="1" s="1"/>
  <c r="BR34" i="1"/>
  <c r="BV34" i="1"/>
  <c r="BW34" i="1"/>
  <c r="AP61" i="2" l="1"/>
  <c r="AO61" i="2"/>
  <c r="AK61" i="2"/>
  <c r="AJ61" i="2"/>
  <c r="I13" i="4" l="1"/>
  <c r="D13" i="4"/>
  <c r="AE9" i="3"/>
  <c r="I9" i="3" s="1"/>
  <c r="AD9" i="3"/>
  <c r="H9" i="3" s="1"/>
  <c r="Z9" i="3"/>
  <c r="D9" i="3" s="1"/>
  <c r="Y9" i="3"/>
  <c r="C9" i="3" s="1"/>
  <c r="AB9" i="3" l="1"/>
  <c r="AV9" i="3"/>
  <c r="AV13" i="4"/>
  <c r="AZ9" i="3"/>
  <c r="BA13" i="4"/>
  <c r="AG9" i="3"/>
  <c r="BA9" i="3"/>
  <c r="AU9" i="3"/>
  <c r="FG31" i="1"/>
  <c r="FF31" i="1"/>
  <c r="FB31" i="1"/>
  <c r="FA31" i="1"/>
  <c r="FR31" i="1" l="1"/>
  <c r="FQ31" i="1"/>
  <c r="FM31" i="1"/>
  <c r="FL31" i="1"/>
  <c r="EK31" i="1"/>
  <c r="EJ31" i="1"/>
  <c r="EF31" i="1"/>
  <c r="EE31" i="1"/>
  <c r="DZ31" i="1"/>
  <c r="DY31" i="1"/>
  <c r="DU31" i="1"/>
  <c r="DT31" i="1"/>
  <c r="DO31" i="1"/>
  <c r="DN31" i="1"/>
  <c r="DJ31" i="1"/>
  <c r="DI31" i="1"/>
  <c r="CS31" i="1"/>
  <c r="CH31" i="1" s="1"/>
  <c r="CR31" i="1"/>
  <c r="CN31" i="1"/>
  <c r="CC31" i="1" s="1"/>
  <c r="CM31" i="1"/>
  <c r="BQ40" i="1" l="1"/>
  <c r="CG31" i="1"/>
  <c r="BR40" i="1"/>
  <c r="BW40" i="1"/>
  <c r="CB31" i="1"/>
  <c r="BV40" i="1"/>
  <c r="T32" i="1"/>
  <c r="S32" i="1"/>
  <c r="O32" i="1"/>
  <c r="N32" i="1"/>
  <c r="BA22" i="1"/>
  <c r="BA20" i="1"/>
  <c r="BA19" i="1"/>
  <c r="BA15" i="1"/>
  <c r="BA14" i="1"/>
  <c r="BA11" i="1"/>
  <c r="BA10" i="1"/>
  <c r="BA9" i="1"/>
  <c r="AZ22" i="1"/>
  <c r="AZ20" i="1"/>
  <c r="AZ19" i="1"/>
  <c r="AZ15" i="1"/>
  <c r="AZ14" i="1"/>
  <c r="AZ11" i="1"/>
  <c r="AZ10" i="1"/>
  <c r="AZ9" i="1"/>
  <c r="AV22" i="1"/>
  <c r="AV20" i="1"/>
  <c r="AV19" i="1"/>
  <c r="AV15" i="1"/>
  <c r="AV14" i="1"/>
  <c r="AV11" i="1"/>
  <c r="AV10" i="1"/>
  <c r="AV9" i="1"/>
  <c r="AU22" i="1"/>
  <c r="AU20" i="1"/>
  <c r="AU19" i="1"/>
  <c r="AU15" i="1"/>
  <c r="AU14" i="1"/>
  <c r="AU11" i="1"/>
  <c r="AU10" i="1"/>
  <c r="AU9" i="1"/>
  <c r="AV30" i="1" l="1"/>
  <c r="AV32" i="1" s="1"/>
  <c r="BC19" i="1"/>
  <c r="AU30" i="1"/>
  <c r="AZ30" i="1"/>
  <c r="AZ32" i="1" s="1"/>
  <c r="BA30" i="1"/>
  <c r="BA32" i="1" s="1"/>
  <c r="BC9" i="1"/>
  <c r="AU16" i="1"/>
  <c r="AU27" i="1" s="1"/>
  <c r="AZ16" i="1"/>
  <c r="AZ27" i="1" s="1"/>
  <c r="BC14" i="1"/>
  <c r="AX22" i="1"/>
  <c r="BC22" i="1"/>
  <c r="BA16" i="1"/>
  <c r="AU32" i="1"/>
  <c r="AX20" i="1"/>
  <c r="BC11" i="1"/>
  <c r="AZ12" i="1"/>
  <c r="AZ28" i="1" s="1"/>
  <c r="AZ29" i="1" s="1"/>
  <c r="BC15" i="1"/>
  <c r="AV12" i="1"/>
  <c r="AV28" i="1" s="1"/>
  <c r="BC20" i="1"/>
  <c r="AX19" i="1"/>
  <c r="AX15" i="1"/>
  <c r="AX14" i="1"/>
  <c r="AX11" i="1"/>
  <c r="AX10" i="1"/>
  <c r="BC10" i="1"/>
  <c r="AU12" i="1"/>
  <c r="AV16" i="1"/>
  <c r="AX9" i="1"/>
  <c r="BA12" i="1"/>
  <c r="BA28" i="1" s="1"/>
  <c r="EK22" i="1"/>
  <c r="EK20" i="1"/>
  <c r="EK19" i="1"/>
  <c r="EK15" i="1"/>
  <c r="EK14" i="1"/>
  <c r="EK11" i="1"/>
  <c r="EK10" i="1"/>
  <c r="EK9" i="1"/>
  <c r="EJ22" i="1"/>
  <c r="EJ20" i="1"/>
  <c r="EJ19" i="1"/>
  <c r="EJ15" i="1"/>
  <c r="EJ14" i="1"/>
  <c r="EJ11" i="1"/>
  <c r="EJ10" i="1"/>
  <c r="EJ9" i="1"/>
  <c r="EF22" i="1"/>
  <c r="EF20" i="1"/>
  <c r="EF19" i="1"/>
  <c r="EF15" i="1"/>
  <c r="EF14" i="1"/>
  <c r="EF11" i="1"/>
  <c r="EF10" i="1"/>
  <c r="EF9" i="1"/>
  <c r="EE22" i="1"/>
  <c r="EE20" i="1"/>
  <c r="EE19" i="1"/>
  <c r="EE15" i="1"/>
  <c r="EE14" i="1"/>
  <c r="EE11" i="1"/>
  <c r="EE10" i="1"/>
  <c r="EE9" i="1"/>
  <c r="EJ30" i="1" l="1"/>
  <c r="EJ32" i="1" s="1"/>
  <c r="EK30" i="1"/>
  <c r="EK32" i="1" s="1"/>
  <c r="EE30" i="1"/>
  <c r="EE32" i="1" s="1"/>
  <c r="EF30" i="1"/>
  <c r="EF32" i="1" s="1"/>
  <c r="AU18" i="1"/>
  <c r="AU21" i="1" s="1"/>
  <c r="AU23" i="1" s="1"/>
  <c r="AU28" i="1"/>
  <c r="AU29" i="1" s="1"/>
  <c r="AX16" i="1"/>
  <c r="AV27" i="1"/>
  <c r="AV29" i="1" s="1"/>
  <c r="AZ18" i="1"/>
  <c r="AZ21" i="1" s="1"/>
  <c r="AZ23" i="1" s="1"/>
  <c r="BC16" i="1"/>
  <c r="BA27" i="1"/>
  <c r="BA29" i="1" s="1"/>
  <c r="AX12" i="1"/>
  <c r="BC12" i="1"/>
  <c r="BA18" i="1"/>
  <c r="AV18" i="1"/>
  <c r="AZ33" i="1" l="1"/>
  <c r="AZ35" i="1" s="1"/>
  <c r="AZ36" i="1"/>
  <c r="AZ38" i="1" s="1"/>
  <c r="AU36" i="1"/>
  <c r="AU38" i="1" s="1"/>
  <c r="AU33" i="1"/>
  <c r="AU35" i="1" s="1"/>
  <c r="AX18" i="1"/>
  <c r="AV21" i="1"/>
  <c r="BA21" i="1"/>
  <c r="BC18" i="1"/>
  <c r="BA23" i="1" l="1"/>
  <c r="BC21" i="1"/>
  <c r="AX21" i="1"/>
  <c r="AV23" i="1"/>
  <c r="AJ12" i="3"/>
  <c r="AX23" i="1" l="1"/>
  <c r="AV36" i="1"/>
  <c r="AV38" i="1" s="1"/>
  <c r="AV33" i="1"/>
  <c r="AV35" i="1" s="1"/>
  <c r="BC23" i="1"/>
  <c r="BA36" i="1"/>
  <c r="BA38" i="1" s="1"/>
  <c r="BA33" i="1"/>
  <c r="BA35" i="1" s="1"/>
  <c r="AP14" i="4"/>
  <c r="AO14" i="4"/>
  <c r="AK14" i="4"/>
  <c r="AJ14" i="4"/>
  <c r="AP11" i="4"/>
  <c r="AO11" i="4"/>
  <c r="AK11" i="4"/>
  <c r="AJ11" i="4"/>
  <c r="AR10" i="4"/>
  <c r="AR9" i="4"/>
  <c r="AM10" i="4"/>
  <c r="AM9" i="4"/>
  <c r="BC23" i="3"/>
  <c r="BC22" i="3"/>
  <c r="BC19" i="3"/>
  <c r="AR23" i="3"/>
  <c r="AR22" i="3"/>
  <c r="AR19" i="3"/>
  <c r="AR14" i="3"/>
  <c r="AR13" i="3"/>
  <c r="AR12" i="3"/>
  <c r="AR10" i="3"/>
  <c r="AR9" i="3"/>
  <c r="AG23" i="3"/>
  <c r="AG22" i="3"/>
  <c r="AG19" i="3"/>
  <c r="AG14" i="3"/>
  <c r="AG13" i="3"/>
  <c r="AG12" i="3"/>
  <c r="V23" i="3"/>
  <c r="V22" i="3"/>
  <c r="AX23" i="3"/>
  <c r="AX22" i="3"/>
  <c r="AX19" i="3"/>
  <c r="AM23" i="3"/>
  <c r="AM22" i="3"/>
  <c r="AM19" i="3"/>
  <c r="AM14" i="3"/>
  <c r="AM13" i="3"/>
  <c r="AM12" i="3"/>
  <c r="AM10" i="3"/>
  <c r="AM9" i="3"/>
  <c r="AB23" i="3"/>
  <c r="AB22" i="3"/>
  <c r="AB19" i="3"/>
  <c r="AB14" i="3"/>
  <c r="AB13" i="3"/>
  <c r="AB12" i="3"/>
  <c r="Q23" i="3"/>
  <c r="Q22" i="3"/>
  <c r="K23" i="3"/>
  <c r="K22" i="3"/>
  <c r="K19" i="3"/>
  <c r="K14" i="3"/>
  <c r="K13" i="3"/>
  <c r="K12" i="3"/>
  <c r="K9" i="3"/>
  <c r="F23" i="3"/>
  <c r="F22" i="3"/>
  <c r="F19" i="3"/>
  <c r="F9" i="3"/>
  <c r="K15" i="2"/>
  <c r="BA10" i="4"/>
  <c r="AE10" i="4" s="1"/>
  <c r="I10" i="4" s="1"/>
  <c r="AZ10" i="4"/>
  <c r="AD10" i="4" s="1"/>
  <c r="H10" i="4" s="1"/>
  <c r="AV10" i="4"/>
  <c r="Z10" i="4" s="1"/>
  <c r="D10" i="4" s="1"/>
  <c r="AU10" i="4"/>
  <c r="Y10" i="4" s="1"/>
  <c r="C10" i="4" s="1"/>
  <c r="F10" i="4" l="1"/>
  <c r="K10" i="4"/>
  <c r="AG10" i="4"/>
  <c r="AB10" i="4"/>
  <c r="AM11" i="4"/>
  <c r="AM14" i="4"/>
  <c r="AR11" i="4"/>
  <c r="AR14" i="4"/>
  <c r="AX10" i="4"/>
  <c r="BC10" i="4"/>
  <c r="AE10" i="3"/>
  <c r="I10" i="3" s="1"/>
  <c r="AD10" i="3"/>
  <c r="H10" i="3" s="1"/>
  <c r="Z10" i="3"/>
  <c r="D10" i="3" s="1"/>
  <c r="Y10" i="3"/>
  <c r="C10" i="3" s="1"/>
  <c r="F10" i="3" l="1"/>
  <c r="K10" i="3"/>
  <c r="AB10" i="3"/>
  <c r="AG10" i="3"/>
  <c r="BC9" i="3"/>
  <c r="AX9" i="3"/>
  <c r="AX10" i="3"/>
  <c r="BC10" i="3"/>
  <c r="BA14" i="3"/>
  <c r="BA13" i="3"/>
  <c r="BA12" i="3"/>
  <c r="AZ13" i="3"/>
  <c r="AZ14" i="3"/>
  <c r="AZ12" i="3"/>
  <c r="AV14" i="3"/>
  <c r="AX14" i="3" s="1"/>
  <c r="AV13" i="3"/>
  <c r="AV12" i="3"/>
  <c r="AX12" i="3" l="1"/>
  <c r="AX13" i="3"/>
  <c r="BC12" i="3"/>
  <c r="BC13" i="3"/>
  <c r="BC14" i="3"/>
  <c r="FG22" i="1"/>
  <c r="FF22" i="1"/>
  <c r="FB22" i="1"/>
  <c r="FA22" i="1"/>
  <c r="FD22" i="1" l="1"/>
  <c r="FI22" i="1"/>
  <c r="EM22" i="1"/>
  <c r="EH22" i="1"/>
  <c r="FA19" i="1" l="1"/>
  <c r="FA30" i="1" l="1"/>
  <c r="FA32" i="1" s="1"/>
  <c r="FF19" i="1"/>
  <c r="EM19" i="1"/>
  <c r="FG19" i="1"/>
  <c r="FG30" i="1" s="1"/>
  <c r="FB19" i="1"/>
  <c r="FB30" i="1" s="1"/>
  <c r="EH19" i="1"/>
  <c r="FF30" i="1" l="1"/>
  <c r="FF32" i="1" s="1"/>
  <c r="FI19" i="1"/>
  <c r="FG32" i="1"/>
  <c r="FD19" i="1"/>
  <c r="FB32" i="1"/>
  <c r="FB11" i="1"/>
  <c r="FG11" i="1"/>
  <c r="FF20" i="1"/>
  <c r="FF11" i="1"/>
  <c r="FG20" i="1"/>
  <c r="FA11" i="1"/>
  <c r="FB20" i="1"/>
  <c r="FA20" i="1"/>
  <c r="FI11" i="1" l="1"/>
  <c r="EM11" i="1"/>
  <c r="EH20" i="1"/>
  <c r="FI20" i="1"/>
  <c r="EH11" i="1"/>
  <c r="FD20" i="1"/>
  <c r="EM20" i="1"/>
  <c r="FD11" i="1"/>
  <c r="FF15" i="1"/>
  <c r="FG15" i="1" l="1"/>
  <c r="EM15" i="1"/>
  <c r="FF14" i="1"/>
  <c r="FF16" i="1" s="1"/>
  <c r="FF27" i="1" s="1"/>
  <c r="FG14" i="1"/>
  <c r="FA15" i="1"/>
  <c r="FI15" i="1" l="1"/>
  <c r="FA14" i="1"/>
  <c r="FA16" i="1" s="1"/>
  <c r="FA27" i="1" s="1"/>
  <c r="EM14" i="1"/>
  <c r="FG16" i="1"/>
  <c r="FG27" i="1" s="1"/>
  <c r="FI16" i="1" l="1"/>
  <c r="FI14" i="1"/>
  <c r="FB14" i="1"/>
  <c r="FD14" i="1" s="1"/>
  <c r="EH14" i="1"/>
  <c r="EH15" i="1"/>
  <c r="FB15" i="1"/>
  <c r="FD15" i="1" s="1"/>
  <c r="FB16" i="1" l="1"/>
  <c r="FD16" i="1" l="1"/>
  <c r="FB27" i="1"/>
  <c r="FA10" i="1"/>
  <c r="FG10" i="1"/>
  <c r="EM10" i="1"/>
  <c r="FB10" i="1"/>
  <c r="EH10" i="1"/>
  <c r="FF10" i="1"/>
  <c r="FI10" i="1" l="1"/>
  <c r="FD10" i="1"/>
  <c r="FG9" i="1"/>
  <c r="FF9" i="1"/>
  <c r="FB9" i="1"/>
  <c r="FA9" i="1"/>
  <c r="FA12" i="1" l="1"/>
  <c r="FF12" i="1"/>
  <c r="FD9" i="1"/>
  <c r="FI9" i="1"/>
  <c r="EH9" i="1"/>
  <c r="EM9" i="1"/>
  <c r="FB12" i="1"/>
  <c r="FG12" i="1"/>
  <c r="FI12" i="1" l="1"/>
  <c r="FG28" i="1"/>
  <c r="FG29" i="1" s="1"/>
  <c r="FD12" i="1"/>
  <c r="FB28" i="1"/>
  <c r="FB29" i="1" s="1"/>
  <c r="FA18" i="1"/>
  <c r="FA21" i="1" s="1"/>
  <c r="FA23" i="1" s="1"/>
  <c r="FA36" i="1" s="1"/>
  <c r="FA38" i="1" s="1"/>
  <c r="FA28" i="1"/>
  <c r="FA29" i="1" s="1"/>
  <c r="FF18" i="1"/>
  <c r="FF21" i="1" s="1"/>
  <c r="FF23" i="1" s="1"/>
  <c r="FF33" i="1" s="1"/>
  <c r="FF35" i="1" s="1"/>
  <c r="FF28" i="1"/>
  <c r="FF29" i="1" s="1"/>
  <c r="FG18" i="1"/>
  <c r="FB18" i="1"/>
  <c r="FI18" i="1" l="1"/>
  <c r="FD18" i="1"/>
  <c r="FF36" i="1"/>
  <c r="FF38" i="1" s="1"/>
  <c r="FA33" i="1"/>
  <c r="FA35" i="1" s="1"/>
  <c r="FB21" i="1"/>
  <c r="FD21" i="1" s="1"/>
  <c r="FG21" i="1"/>
  <c r="FI21" i="1" s="1"/>
  <c r="FG23" i="1" l="1"/>
  <c r="FB23" i="1"/>
  <c r="FD23" i="1" l="1"/>
  <c r="FB33" i="1"/>
  <c r="FB35" i="1" s="1"/>
  <c r="FB36" i="1"/>
  <c r="FB38" i="1" s="1"/>
  <c r="FI23" i="1"/>
  <c r="FG36" i="1"/>
  <c r="FG38" i="1" s="1"/>
  <c r="FG33" i="1"/>
  <c r="FG35" i="1" s="1"/>
  <c r="AP68" i="2"/>
  <c r="AO68" i="2"/>
  <c r="AK68" i="2"/>
  <c r="AJ68" i="2"/>
  <c r="AJ56" i="2"/>
  <c r="C56" i="2" s="1"/>
  <c r="AP56" i="2"/>
  <c r="I56" i="2" s="1"/>
  <c r="K56" i="2" s="1"/>
  <c r="AP55" i="2"/>
  <c r="I55" i="2" s="1"/>
  <c r="AP54" i="2"/>
  <c r="I54" i="2" s="1"/>
  <c r="AP53" i="2"/>
  <c r="I53" i="2" s="1"/>
  <c r="AO56" i="2"/>
  <c r="H56" i="2" s="1"/>
  <c r="AO55" i="2"/>
  <c r="H55" i="2" s="1"/>
  <c r="AO54" i="2"/>
  <c r="H54" i="2" s="1"/>
  <c r="AO53" i="2"/>
  <c r="H53" i="2" s="1"/>
  <c r="AK56" i="2"/>
  <c r="D56" i="2" s="1"/>
  <c r="F56" i="2" s="1"/>
  <c r="AK55" i="2"/>
  <c r="D55" i="2" s="1"/>
  <c r="AK54" i="2"/>
  <c r="D54" i="2" s="1"/>
  <c r="AK53" i="2"/>
  <c r="D53" i="2" s="1"/>
  <c r="O57" i="2"/>
  <c r="N57" i="2"/>
  <c r="N71" i="2" s="1"/>
  <c r="T57" i="2"/>
  <c r="S57" i="2"/>
  <c r="S71" i="2" s="1"/>
  <c r="AJ55" i="2"/>
  <c r="C55" i="2" s="1"/>
  <c r="AJ54" i="2"/>
  <c r="C54" i="2" s="1"/>
  <c r="AJ53" i="2"/>
  <c r="C53" i="2" s="1"/>
  <c r="C57" i="2" l="1"/>
  <c r="C71" i="2" s="1"/>
  <c r="F54" i="2"/>
  <c r="H57" i="2"/>
  <c r="H71" i="2" s="1"/>
  <c r="K54" i="2"/>
  <c r="D57" i="2"/>
  <c r="F57" i="2" s="1"/>
  <c r="I57" i="2"/>
  <c r="F53" i="2"/>
  <c r="K53" i="2"/>
  <c r="F55" i="2"/>
  <c r="K55" i="2"/>
  <c r="D71" i="2"/>
  <c r="Q57" i="2"/>
  <c r="O71" i="2"/>
  <c r="T71" i="2"/>
  <c r="V57" i="2"/>
  <c r="AJ57" i="2"/>
  <c r="AJ71" i="2" s="1"/>
  <c r="AM53" i="2"/>
  <c r="AM55" i="2"/>
  <c r="AR55" i="2"/>
  <c r="AM56" i="2"/>
  <c r="AR56" i="2"/>
  <c r="AR53" i="2"/>
  <c r="AM54" i="2"/>
  <c r="AR54" i="2"/>
  <c r="AP57" i="2"/>
  <c r="AP71" i="2" s="1"/>
  <c r="AO57" i="2"/>
  <c r="AO71" i="2" s="1"/>
  <c r="AK57" i="2"/>
  <c r="AP23" i="2"/>
  <c r="AO23" i="2"/>
  <c r="AK23" i="2"/>
  <c r="AJ23" i="2"/>
  <c r="AP30" i="2"/>
  <c r="AO30" i="2"/>
  <c r="AK30" i="2"/>
  <c r="AJ30" i="2"/>
  <c r="AJ11" i="2"/>
  <c r="C11" i="2" s="1"/>
  <c r="AJ10" i="2"/>
  <c r="AJ9" i="2"/>
  <c r="K57" i="2" l="1"/>
  <c r="AJ39" i="2"/>
  <c r="I27" i="5"/>
  <c r="K27" i="5" s="1"/>
  <c r="C23" i="2"/>
  <c r="C39" i="2" s="1"/>
  <c r="AJ14" i="2"/>
  <c r="C14" i="2" s="1"/>
  <c r="C9" i="2"/>
  <c r="AK39" i="2"/>
  <c r="D23" i="2"/>
  <c r="I71" i="2"/>
  <c r="AJ16" i="2"/>
  <c r="C16" i="2" s="1"/>
  <c r="C10" i="2"/>
  <c r="AO39" i="2"/>
  <c r="H23" i="2"/>
  <c r="H39" i="2" s="1"/>
  <c r="AP39" i="2"/>
  <c r="I23" i="2"/>
  <c r="AK71" i="2"/>
  <c r="AM57" i="2"/>
  <c r="AM15" i="2"/>
  <c r="AM23" i="2"/>
  <c r="AR15" i="2"/>
  <c r="AR23" i="2"/>
  <c r="AJ12" i="2"/>
  <c r="AJ20" i="2" l="1"/>
  <c r="C20" i="2"/>
  <c r="F23" i="2"/>
  <c r="D39" i="2"/>
  <c r="I39" i="2"/>
  <c r="K23" i="2"/>
  <c r="C12" i="2"/>
  <c r="AJ31" i="2"/>
  <c r="AJ22" i="2"/>
  <c r="I26" i="5" s="1"/>
  <c r="K26" i="5" s="1"/>
  <c r="AP11" i="2"/>
  <c r="AO11" i="2"/>
  <c r="H11" i="2" s="1"/>
  <c r="AK11" i="2"/>
  <c r="AP10" i="2"/>
  <c r="I10" i="2" s="1"/>
  <c r="K10" i="2" s="1"/>
  <c r="AO10" i="2"/>
  <c r="AK10" i="2"/>
  <c r="D10" i="2" s="1"/>
  <c r="F10" i="2" s="1"/>
  <c r="AP9" i="2"/>
  <c r="I9" i="2" s="1"/>
  <c r="AO9" i="2"/>
  <c r="AK9" i="2"/>
  <c r="D9" i="2" s="1"/>
  <c r="F9" i="2" l="1"/>
  <c r="AO16" i="2"/>
  <c r="H16" i="2" s="1"/>
  <c r="H10" i="2"/>
  <c r="AR11" i="2"/>
  <c r="I11" i="2"/>
  <c r="K11" i="2" s="1"/>
  <c r="AO14" i="2"/>
  <c r="H14" i="2" s="1"/>
  <c r="H20" i="2" s="1"/>
  <c r="H9" i="2"/>
  <c r="H12" i="2" s="1"/>
  <c r="K9" i="2"/>
  <c r="I12" i="2"/>
  <c r="K12" i="2" s="1"/>
  <c r="AM11" i="2"/>
  <c r="D11" i="2"/>
  <c r="F11" i="2" s="1"/>
  <c r="AR10" i="2"/>
  <c r="AP16" i="2"/>
  <c r="AM10" i="2"/>
  <c r="AK16" i="2"/>
  <c r="AM9" i="2"/>
  <c r="AK14" i="2"/>
  <c r="D14" i="2" s="1"/>
  <c r="AR9" i="2"/>
  <c r="AP14" i="2"/>
  <c r="I14" i="2" s="1"/>
  <c r="AO12" i="2"/>
  <c r="AK12" i="2"/>
  <c r="AP12" i="2"/>
  <c r="F14" i="2" l="1"/>
  <c r="AR16" i="2"/>
  <c r="I16" i="2"/>
  <c r="D12" i="2"/>
  <c r="F12" i="2" s="1"/>
  <c r="K14" i="2"/>
  <c r="AM16" i="2"/>
  <c r="D16" i="2"/>
  <c r="F16" i="2" s="1"/>
  <c r="AO20" i="2"/>
  <c r="AR12" i="2"/>
  <c r="AP31" i="2"/>
  <c r="AO31" i="2"/>
  <c r="AO22" i="2"/>
  <c r="AM12" i="2"/>
  <c r="AK31" i="2"/>
  <c r="AP20" i="2"/>
  <c r="AP22" i="2" s="1"/>
  <c r="AR22" i="2" s="1"/>
  <c r="AK20" i="2"/>
  <c r="AM20" i="2" s="1"/>
  <c r="AM14" i="2"/>
  <c r="AR14" i="2"/>
  <c r="AR20" i="2"/>
  <c r="AP65" i="1"/>
  <c r="AO65" i="1"/>
  <c r="AK65" i="1"/>
  <c r="AJ65" i="1"/>
  <c r="AP60" i="1"/>
  <c r="AO60" i="1"/>
  <c r="AK60" i="1"/>
  <c r="AJ60" i="1"/>
  <c r="AP58" i="1"/>
  <c r="AO58" i="1"/>
  <c r="AK58" i="1"/>
  <c r="AJ58" i="1"/>
  <c r="AP57" i="1"/>
  <c r="AO57" i="1"/>
  <c r="AK57" i="1"/>
  <c r="AJ57" i="1"/>
  <c r="AP53" i="1"/>
  <c r="AO53" i="1"/>
  <c r="AK53" i="1"/>
  <c r="AJ53" i="1"/>
  <c r="AP52" i="1"/>
  <c r="AO52" i="1"/>
  <c r="AO54" i="1" s="1"/>
  <c r="AK52" i="1"/>
  <c r="AK54" i="1" s="1"/>
  <c r="AJ52" i="1"/>
  <c r="AP49" i="1"/>
  <c r="AO49" i="1"/>
  <c r="AK49" i="1"/>
  <c r="AJ49" i="1"/>
  <c r="AP48" i="1"/>
  <c r="AO48" i="1"/>
  <c r="AK48" i="1"/>
  <c r="AJ48" i="1"/>
  <c r="AP47" i="1"/>
  <c r="AO47" i="1"/>
  <c r="AK47" i="1"/>
  <c r="AJ47" i="1"/>
  <c r="AP22" i="1"/>
  <c r="AO22" i="1"/>
  <c r="BK22" i="1" s="1"/>
  <c r="AK22" i="1"/>
  <c r="BG22" i="1" s="1"/>
  <c r="AJ22" i="1"/>
  <c r="AP20" i="1"/>
  <c r="AO20" i="1"/>
  <c r="BK20" i="1" s="1"/>
  <c r="AK20" i="1"/>
  <c r="BG20" i="1" s="1"/>
  <c r="AJ20" i="1"/>
  <c r="AP19" i="1"/>
  <c r="AP30" i="1" s="1"/>
  <c r="AO19" i="1"/>
  <c r="AO30" i="1" s="1"/>
  <c r="AK19" i="1"/>
  <c r="AK30" i="1" s="1"/>
  <c r="AJ19" i="1"/>
  <c r="AP15" i="1"/>
  <c r="AO15" i="1"/>
  <c r="BK15" i="1" s="1"/>
  <c r="AK15" i="1"/>
  <c r="BG15" i="1" s="1"/>
  <c r="AJ15" i="1"/>
  <c r="AP14" i="1"/>
  <c r="AO14" i="1"/>
  <c r="AK14" i="1"/>
  <c r="AJ14" i="1"/>
  <c r="AP11" i="1"/>
  <c r="AO11" i="1"/>
  <c r="BK11" i="1" s="1"/>
  <c r="AK11" i="1"/>
  <c r="BG11" i="1" s="1"/>
  <c r="AJ11" i="1"/>
  <c r="AP10" i="1"/>
  <c r="AO10" i="1"/>
  <c r="BK10" i="1" s="1"/>
  <c r="AK10" i="1"/>
  <c r="BG10" i="1" s="1"/>
  <c r="AJ10" i="1"/>
  <c r="AP9" i="1"/>
  <c r="AO9" i="1"/>
  <c r="AK9" i="1"/>
  <c r="BG9" i="1" s="1"/>
  <c r="AJ9" i="1"/>
  <c r="I20" i="2" l="1"/>
  <c r="K16" i="2"/>
  <c r="D20" i="2"/>
  <c r="AK22" i="2"/>
  <c r="AM22" i="2" s="1"/>
  <c r="BF9" i="1"/>
  <c r="BI9" i="1" s="1"/>
  <c r="O5" i="5"/>
  <c r="BF10" i="1"/>
  <c r="BI10" i="1" s="1"/>
  <c r="O6" i="5"/>
  <c r="Q6" i="5" s="1"/>
  <c r="BF11" i="1"/>
  <c r="BI11" i="1" s="1"/>
  <c r="O7" i="5"/>
  <c r="Q7" i="5" s="1"/>
  <c r="BF14" i="1"/>
  <c r="O10" i="5"/>
  <c r="BF15" i="1"/>
  <c r="BI15" i="1" s="1"/>
  <c r="O11" i="5"/>
  <c r="Q11" i="5" s="1"/>
  <c r="O15" i="5"/>
  <c r="Q15" i="5" s="1"/>
  <c r="AJ30" i="1"/>
  <c r="BF20" i="1"/>
  <c r="BI20" i="1" s="1"/>
  <c r="O16" i="5"/>
  <c r="Q16" i="5" s="1"/>
  <c r="BF22" i="1"/>
  <c r="BI22" i="1" s="1"/>
  <c r="O18" i="5"/>
  <c r="Q18" i="5" s="1"/>
  <c r="AP50" i="1"/>
  <c r="AR47" i="1"/>
  <c r="AR52" i="1"/>
  <c r="AR53" i="1"/>
  <c r="AR57" i="1"/>
  <c r="AR58" i="1"/>
  <c r="AR60" i="1"/>
  <c r="AO12" i="1"/>
  <c r="BK9" i="1"/>
  <c r="BK12" i="1" s="1"/>
  <c r="AO16" i="1"/>
  <c r="AO27" i="1" s="1"/>
  <c r="BK14" i="1"/>
  <c r="BK16" i="1" s="1"/>
  <c r="BK27" i="1" s="1"/>
  <c r="AO32" i="1"/>
  <c r="BK19" i="1"/>
  <c r="AK50" i="1"/>
  <c r="AK56" i="1" s="1"/>
  <c r="AR9" i="1"/>
  <c r="BL9" i="1"/>
  <c r="AR10" i="1"/>
  <c r="BL10" i="1"/>
  <c r="AR11" i="1"/>
  <c r="BL11" i="1"/>
  <c r="AR14" i="1"/>
  <c r="BL14" i="1"/>
  <c r="AR15" i="1"/>
  <c r="BL15" i="1"/>
  <c r="AR19" i="1"/>
  <c r="AP32" i="1"/>
  <c r="BL19" i="1"/>
  <c r="BL30" i="1" s="1"/>
  <c r="AR20" i="1"/>
  <c r="BL20" i="1"/>
  <c r="BN20" i="1" s="1"/>
  <c r="AR22" i="1"/>
  <c r="BL22" i="1"/>
  <c r="BN22" i="1" s="1"/>
  <c r="AO50" i="1"/>
  <c r="AO56" i="1" s="1"/>
  <c r="AO59" i="1" s="1"/>
  <c r="AO61" i="1" s="1"/>
  <c r="BF16" i="1"/>
  <c r="BF27" i="1" s="1"/>
  <c r="AJ32" i="1"/>
  <c r="BF19" i="1"/>
  <c r="BF30" i="1" s="1"/>
  <c r="BG12" i="1"/>
  <c r="AK16" i="1"/>
  <c r="AK27" i="1" s="1"/>
  <c r="BG14" i="1"/>
  <c r="BG16" i="1" s="1"/>
  <c r="AK32" i="1"/>
  <c r="BG19" i="1"/>
  <c r="AM48" i="1"/>
  <c r="AM49" i="1"/>
  <c r="AM9" i="1"/>
  <c r="AM10" i="1"/>
  <c r="AM11" i="1"/>
  <c r="AM14" i="1"/>
  <c r="AM15" i="1"/>
  <c r="AM19" i="1"/>
  <c r="AM20" i="1"/>
  <c r="AM22" i="1"/>
  <c r="AK12" i="1"/>
  <c r="AK28" i="1" s="1"/>
  <c r="AM53" i="1"/>
  <c r="AR49" i="1"/>
  <c r="AM57" i="1"/>
  <c r="AM58" i="1"/>
  <c r="AJ16" i="1"/>
  <c r="AM47" i="1"/>
  <c r="AM60" i="1"/>
  <c r="AM52" i="1"/>
  <c r="AJ54" i="1"/>
  <c r="AM54" i="1" s="1"/>
  <c r="AR48" i="1"/>
  <c r="AJ50" i="1"/>
  <c r="AP54" i="1"/>
  <c r="AR54" i="1" s="1"/>
  <c r="AJ12" i="1"/>
  <c r="AJ28" i="1" s="1"/>
  <c r="AP12" i="1"/>
  <c r="AP28" i="1" s="1"/>
  <c r="AP16" i="1"/>
  <c r="BN10" i="1" l="1"/>
  <c r="BN15" i="1"/>
  <c r="BN11" i="1"/>
  <c r="BK30" i="1"/>
  <c r="BK32" i="1" s="1"/>
  <c r="Q10" i="5"/>
  <c r="O12" i="5"/>
  <c r="Q12" i="5" s="1"/>
  <c r="BG30" i="1"/>
  <c r="BG32" i="1" s="1"/>
  <c r="Q5" i="5"/>
  <c r="O8" i="5"/>
  <c r="BF12" i="1"/>
  <c r="BF28" i="1" s="1"/>
  <c r="BF29" i="1" s="1"/>
  <c r="AK29" i="1"/>
  <c r="BG27" i="1"/>
  <c r="BI16" i="1"/>
  <c r="BL16" i="1"/>
  <c r="BN14" i="1"/>
  <c r="BG18" i="1"/>
  <c r="BG28" i="1"/>
  <c r="BI12" i="1"/>
  <c r="BL12" i="1"/>
  <c r="BN9" i="1"/>
  <c r="BK28" i="1"/>
  <c r="BK29" i="1" s="1"/>
  <c r="BK18" i="1"/>
  <c r="BK21" i="1" s="1"/>
  <c r="BK23" i="1" s="1"/>
  <c r="BI19" i="1"/>
  <c r="BF32" i="1"/>
  <c r="AR16" i="1"/>
  <c r="AP27" i="1"/>
  <c r="AP29" i="1" s="1"/>
  <c r="AM16" i="1"/>
  <c r="AJ27" i="1"/>
  <c r="AJ29" i="1" s="1"/>
  <c r="AK18" i="1"/>
  <c r="AK21" i="1" s="1"/>
  <c r="BI14" i="1"/>
  <c r="BN19" i="1"/>
  <c r="BL32" i="1"/>
  <c r="AO18" i="1"/>
  <c r="AO21" i="1" s="1"/>
  <c r="AO23" i="1" s="1"/>
  <c r="AO28" i="1"/>
  <c r="AO29" i="1" s="1"/>
  <c r="AR12" i="1"/>
  <c r="AM12" i="1"/>
  <c r="AJ18" i="1"/>
  <c r="AJ21" i="1" s="1"/>
  <c r="AJ23" i="1" s="1"/>
  <c r="AJ56" i="1"/>
  <c r="AJ59" i="1" s="1"/>
  <c r="AJ61" i="1" s="1"/>
  <c r="AM50" i="1"/>
  <c r="AK59" i="1"/>
  <c r="AR50" i="1"/>
  <c r="AP56" i="1"/>
  <c r="AP18" i="1"/>
  <c r="O14" i="5" l="1"/>
  <c r="Q8" i="5"/>
  <c r="BF18" i="1"/>
  <c r="BF21" i="1" s="1"/>
  <c r="BF23" i="1" s="1"/>
  <c r="BF36" i="1" s="1"/>
  <c r="BF38" i="1" s="1"/>
  <c r="AJ18" i="3"/>
  <c r="AJ36" i="1"/>
  <c r="AJ38" i="1" s="1"/>
  <c r="AJ33" i="1"/>
  <c r="AJ35" i="1" s="1"/>
  <c r="AO18" i="3"/>
  <c r="AO33" i="1"/>
  <c r="AO36" i="1"/>
  <c r="AO38" i="1" s="1"/>
  <c r="BK36" i="1"/>
  <c r="BK38" i="1" s="1"/>
  <c r="BK33" i="1"/>
  <c r="BK35" i="1" s="1"/>
  <c r="BG29" i="1"/>
  <c r="BL28" i="1"/>
  <c r="BN12" i="1"/>
  <c r="BG21" i="1"/>
  <c r="BI18" i="1"/>
  <c r="BL18" i="1"/>
  <c r="BL27" i="1"/>
  <c r="BN16" i="1"/>
  <c r="AR18" i="1"/>
  <c r="AM56" i="1"/>
  <c r="AM21" i="1"/>
  <c r="AM18" i="1"/>
  <c r="AK61" i="1"/>
  <c r="AM61" i="1" s="1"/>
  <c r="AM59" i="1"/>
  <c r="AP59" i="1"/>
  <c r="AR56" i="1"/>
  <c r="AK23" i="1"/>
  <c r="AP21" i="1"/>
  <c r="AR21" i="1" s="1"/>
  <c r="BF33" i="1" l="1"/>
  <c r="BF35" i="1" s="1"/>
  <c r="O17" i="5"/>
  <c r="Q14" i="5"/>
  <c r="BN18" i="1"/>
  <c r="BL21" i="1"/>
  <c r="AM23" i="1"/>
  <c r="AK36" i="1"/>
  <c r="AK38" i="1" s="1"/>
  <c r="AK33" i="1"/>
  <c r="BG23" i="1"/>
  <c r="BI21" i="1"/>
  <c r="BL29" i="1"/>
  <c r="AK18" i="3"/>
  <c r="AM18" i="3" s="1"/>
  <c r="AR59" i="1"/>
  <c r="AP61" i="1"/>
  <c r="AR61" i="1" s="1"/>
  <c r="AP23" i="1"/>
  <c r="O19" i="5" l="1"/>
  <c r="Q19" i="5" s="1"/>
  <c r="Q17" i="5"/>
  <c r="AR23" i="1"/>
  <c r="AP36" i="1"/>
  <c r="AP38" i="1" s="1"/>
  <c r="AP33" i="1"/>
  <c r="BI23" i="1"/>
  <c r="BG36" i="1"/>
  <c r="BG38" i="1" s="1"/>
  <c r="BG33" i="1"/>
  <c r="BG35" i="1" s="1"/>
  <c r="BN21" i="1"/>
  <c r="BL23" i="1"/>
  <c r="AP18" i="3"/>
  <c r="AR18" i="3" s="1"/>
  <c r="BW48" i="1"/>
  <c r="BV48" i="1"/>
  <c r="BR48" i="1"/>
  <c r="BQ48" i="1"/>
  <c r="EV10" i="1"/>
  <c r="EU10" i="1"/>
  <c r="FQ10" i="1" s="1"/>
  <c r="EQ10" i="1"/>
  <c r="EP10" i="1"/>
  <c r="FL10" i="1" s="1"/>
  <c r="DZ10" i="1"/>
  <c r="DY10" i="1"/>
  <c r="DU10" i="1"/>
  <c r="DT10" i="1"/>
  <c r="DO10" i="1"/>
  <c r="DN10" i="1"/>
  <c r="DJ10" i="1"/>
  <c r="DI10" i="1"/>
  <c r="DD10" i="1"/>
  <c r="DC10" i="1"/>
  <c r="CY10" i="1"/>
  <c r="CX10" i="1"/>
  <c r="CS10" i="1"/>
  <c r="CR10" i="1"/>
  <c r="CN10" i="1"/>
  <c r="CM10" i="1"/>
  <c r="BN23" i="1" l="1"/>
  <c r="BL36" i="1"/>
  <c r="BL38" i="1" s="1"/>
  <c r="BL33" i="1"/>
  <c r="BL35" i="1" s="1"/>
  <c r="CU10" i="1"/>
  <c r="DF10" i="1"/>
  <c r="DQ10" i="1"/>
  <c r="EB10" i="1"/>
  <c r="CP10" i="1"/>
  <c r="DA10" i="1"/>
  <c r="DL10" i="1"/>
  <c r="DW10" i="1"/>
  <c r="FR10" i="1"/>
  <c r="FT10" i="1" s="1"/>
  <c r="EX10" i="1"/>
  <c r="FM10" i="1"/>
  <c r="FO10" i="1" s="1"/>
  <c r="ES10" i="1"/>
  <c r="DO22" i="1"/>
  <c r="DJ22" i="1"/>
  <c r="DJ20" i="1"/>
  <c r="DN19" i="1"/>
  <c r="DO14" i="1"/>
  <c r="DJ14" i="1"/>
  <c r="DO11" i="1"/>
  <c r="DZ22" i="1"/>
  <c r="DY22" i="1"/>
  <c r="DU22" i="1"/>
  <c r="DT22" i="1"/>
  <c r="DZ20" i="1"/>
  <c r="DU20" i="1"/>
  <c r="DY19" i="1"/>
  <c r="DY15" i="1"/>
  <c r="DZ14" i="1"/>
  <c r="DY14" i="1"/>
  <c r="DU14" i="1"/>
  <c r="DZ11" i="1"/>
  <c r="DU11" i="1"/>
  <c r="DT11" i="1"/>
  <c r="DD22" i="1"/>
  <c r="CY22" i="1"/>
  <c r="CY20" i="1"/>
  <c r="CX20" i="1"/>
  <c r="DC15" i="1"/>
  <c r="DD14" i="1"/>
  <c r="CY14" i="1"/>
  <c r="CX14" i="1"/>
  <c r="DD11" i="1"/>
  <c r="DN30" i="1" l="1"/>
  <c r="DN32" i="1" s="1"/>
  <c r="DY30" i="1"/>
  <c r="DY32" i="1" s="1"/>
  <c r="EB22" i="1"/>
  <c r="DA14" i="1"/>
  <c r="DA20" i="1"/>
  <c r="DW11" i="1"/>
  <c r="DW22" i="1"/>
  <c r="DF14" i="1"/>
  <c r="EB11" i="1"/>
  <c r="CN14" i="1"/>
  <c r="CS22" i="1"/>
  <c r="CS11" i="1"/>
  <c r="CM14" i="1"/>
  <c r="CR15" i="1"/>
  <c r="CM20" i="1"/>
  <c r="CN20" i="1"/>
  <c r="CM11" i="1"/>
  <c r="CN11" i="1"/>
  <c r="CS14" i="1"/>
  <c r="CR19" i="1"/>
  <c r="CS20" i="1"/>
  <c r="CM22" i="1"/>
  <c r="CN22" i="1"/>
  <c r="CX11" i="1"/>
  <c r="DF11" i="1" s="1"/>
  <c r="CY11" i="1"/>
  <c r="DC19" i="1"/>
  <c r="DD20" i="1"/>
  <c r="DF20" i="1" s="1"/>
  <c r="CX22" i="1"/>
  <c r="DA22" i="1" s="1"/>
  <c r="DT14" i="1"/>
  <c r="DW14" i="1" s="1"/>
  <c r="DT20" i="1"/>
  <c r="DW20" i="1" s="1"/>
  <c r="DJ11" i="1"/>
  <c r="DN15" i="1"/>
  <c r="DO20" i="1"/>
  <c r="CR14" i="1"/>
  <c r="CS15" i="1"/>
  <c r="CM19" i="1"/>
  <c r="CN19" i="1"/>
  <c r="CR20" i="1"/>
  <c r="DC14" i="1"/>
  <c r="DC16" i="1" s="1"/>
  <c r="DC27" i="1" s="1"/>
  <c r="DD15" i="1"/>
  <c r="CX19" i="1"/>
  <c r="CY19" i="1"/>
  <c r="DC20" i="1"/>
  <c r="DY11" i="1"/>
  <c r="DT15" i="1"/>
  <c r="DU15" i="1"/>
  <c r="DZ19" i="1"/>
  <c r="EF16" i="1"/>
  <c r="EF27" i="1" s="1"/>
  <c r="EJ16" i="1"/>
  <c r="EJ27" i="1" s="1"/>
  <c r="DN14" i="1"/>
  <c r="DJ15" i="1"/>
  <c r="DO19" i="1"/>
  <c r="DN20" i="1"/>
  <c r="CR11" i="1"/>
  <c r="CM15" i="1"/>
  <c r="CN15" i="1"/>
  <c r="CS19" i="1"/>
  <c r="CR22" i="1"/>
  <c r="DC11" i="1"/>
  <c r="CX15" i="1"/>
  <c r="CY15" i="1"/>
  <c r="DD19" i="1"/>
  <c r="DC22" i="1"/>
  <c r="DY16" i="1"/>
  <c r="DY27" i="1" s="1"/>
  <c r="DZ15" i="1"/>
  <c r="DT19" i="1"/>
  <c r="DU19" i="1"/>
  <c r="DY20" i="1"/>
  <c r="EK16" i="1"/>
  <c r="EK27" i="1" s="1"/>
  <c r="DN11" i="1"/>
  <c r="DO15" i="1"/>
  <c r="DJ19" i="1"/>
  <c r="DN22" i="1"/>
  <c r="DU9" i="1"/>
  <c r="CY9" i="1"/>
  <c r="DN9" i="1"/>
  <c r="DT30" i="1" l="1"/>
  <c r="DT32" i="1" s="1"/>
  <c r="DD30" i="1"/>
  <c r="DD32" i="1" s="1"/>
  <c r="CY30" i="1"/>
  <c r="CY32" i="1" s="1"/>
  <c r="DC30" i="1"/>
  <c r="DC32" i="1" s="1"/>
  <c r="CS30" i="1"/>
  <c r="CS32" i="1" s="1"/>
  <c r="CX30" i="1"/>
  <c r="CX32" i="1" s="1"/>
  <c r="CN30" i="1"/>
  <c r="CN32" i="1" s="1"/>
  <c r="DJ30" i="1"/>
  <c r="DJ32" i="1" s="1"/>
  <c r="DO30" i="1"/>
  <c r="DO32" i="1" s="1"/>
  <c r="CM30" i="1"/>
  <c r="CM32" i="1" s="1"/>
  <c r="CR30" i="1"/>
  <c r="CR32" i="1" s="1"/>
  <c r="DU30" i="1"/>
  <c r="DU32" i="1" s="1"/>
  <c r="DZ30" i="1"/>
  <c r="DZ32" i="1" s="1"/>
  <c r="CP15" i="1"/>
  <c r="CP20" i="1"/>
  <c r="CU11" i="1"/>
  <c r="CU14" i="1"/>
  <c r="EB14" i="1"/>
  <c r="DF19" i="1"/>
  <c r="DW15" i="1"/>
  <c r="DA19" i="1"/>
  <c r="CP11" i="1"/>
  <c r="CP14" i="1"/>
  <c r="CU20" i="1"/>
  <c r="DZ16" i="1"/>
  <c r="DZ27" i="1" s="1"/>
  <c r="EB15" i="1"/>
  <c r="CY16" i="1"/>
  <c r="CY27" i="1" s="1"/>
  <c r="DA15" i="1"/>
  <c r="CU19" i="1"/>
  <c r="CP19" i="1"/>
  <c r="DA11" i="1"/>
  <c r="EB20" i="1"/>
  <c r="DD16" i="1"/>
  <c r="DD27" i="1" s="1"/>
  <c r="DF15" i="1"/>
  <c r="DO16" i="1"/>
  <c r="DO27" i="1" s="1"/>
  <c r="DW19" i="1"/>
  <c r="DJ16" i="1"/>
  <c r="DJ27" i="1" s="1"/>
  <c r="EB19" i="1"/>
  <c r="CU15" i="1"/>
  <c r="CP22" i="1"/>
  <c r="CU22" i="1"/>
  <c r="DF22" i="1"/>
  <c r="DN12" i="1"/>
  <c r="DN28" i="1" s="1"/>
  <c r="EE16" i="1"/>
  <c r="DU16" i="1"/>
  <c r="DU27" i="1" s="1"/>
  <c r="CY12" i="1"/>
  <c r="CY28" i="1" s="1"/>
  <c r="DT9" i="1"/>
  <c r="DT16" i="1"/>
  <c r="DT27" i="1" s="1"/>
  <c r="DY9" i="1"/>
  <c r="DD9" i="1"/>
  <c r="EJ12" i="1"/>
  <c r="DC9" i="1"/>
  <c r="DZ9" i="1"/>
  <c r="EE12" i="1"/>
  <c r="EE28" i="1" s="1"/>
  <c r="DO9" i="1"/>
  <c r="DU12" i="1"/>
  <c r="DU28" i="1" s="1"/>
  <c r="DN16" i="1"/>
  <c r="DN27" i="1" s="1"/>
  <c r="CN16" i="1"/>
  <c r="CN27" i="1" s="1"/>
  <c r="CR16" i="1"/>
  <c r="CR27" i="1" s="1"/>
  <c r="DJ9" i="1"/>
  <c r="CX9" i="1"/>
  <c r="EK12" i="1"/>
  <c r="EK28" i="1" s="1"/>
  <c r="EK29" i="1" s="1"/>
  <c r="DU29" i="1" l="1"/>
  <c r="EJ18" i="1"/>
  <c r="EJ21" i="1" s="1"/>
  <c r="EJ23" i="1" s="1"/>
  <c r="EJ33" i="1" s="1"/>
  <c r="EJ35" i="1" s="1"/>
  <c r="EJ28" i="1"/>
  <c r="EJ29" i="1" s="1"/>
  <c r="CY29" i="1"/>
  <c r="EM16" i="1"/>
  <c r="EE27" i="1"/>
  <c r="EE29" i="1" s="1"/>
  <c r="DW9" i="1"/>
  <c r="DA9" i="1"/>
  <c r="DN29" i="1"/>
  <c r="DY12" i="1"/>
  <c r="DC12" i="1"/>
  <c r="EH16" i="1"/>
  <c r="EB16" i="1"/>
  <c r="EK18" i="1"/>
  <c r="EM12" i="1"/>
  <c r="CY18" i="1"/>
  <c r="DO12" i="1"/>
  <c r="DO28" i="1" s="1"/>
  <c r="DO29" i="1" s="1"/>
  <c r="DD12" i="1"/>
  <c r="DD28" i="1" s="1"/>
  <c r="DD29" i="1" s="1"/>
  <c r="DF9" i="1"/>
  <c r="DZ12" i="1"/>
  <c r="EB9" i="1"/>
  <c r="DW16" i="1"/>
  <c r="DN18" i="1"/>
  <c r="DN21" i="1" s="1"/>
  <c r="DN23" i="1" s="1"/>
  <c r="DJ12" i="1"/>
  <c r="DJ28" i="1" s="1"/>
  <c r="DJ29" i="1" s="1"/>
  <c r="EE18" i="1"/>
  <c r="EE21" i="1" s="1"/>
  <c r="EE23" i="1" s="1"/>
  <c r="DU18" i="1"/>
  <c r="DT12" i="1"/>
  <c r="EF12" i="1"/>
  <c r="DT18" i="1" l="1"/>
  <c r="DT21" i="1" s="1"/>
  <c r="DT23" i="1" s="1"/>
  <c r="DT33" i="1" s="1"/>
  <c r="DT35" i="1" s="1"/>
  <c r="DT28" i="1"/>
  <c r="DT29" i="1" s="1"/>
  <c r="EJ36" i="1"/>
  <c r="EJ38" i="1" s="1"/>
  <c r="DC18" i="1"/>
  <c r="DC21" i="1" s="1"/>
  <c r="DC23" i="1" s="1"/>
  <c r="DC33" i="1" s="1"/>
  <c r="DC35" i="1" s="1"/>
  <c r="DC28" i="1"/>
  <c r="DC29" i="1" s="1"/>
  <c r="DY18" i="1"/>
  <c r="DY21" i="1" s="1"/>
  <c r="DY23" i="1" s="1"/>
  <c r="DY33" i="1" s="1"/>
  <c r="DY35" i="1" s="1"/>
  <c r="DY28" i="1"/>
  <c r="DY29" i="1" s="1"/>
  <c r="EH12" i="1"/>
  <c r="EF28" i="1"/>
  <c r="EF29" i="1" s="1"/>
  <c r="DZ18" i="1"/>
  <c r="DZ28" i="1"/>
  <c r="DZ29" i="1" s="1"/>
  <c r="EE33" i="1"/>
  <c r="EE35" i="1" s="1"/>
  <c r="EE36" i="1"/>
  <c r="EE38" i="1" s="1"/>
  <c r="DN36" i="1"/>
  <c r="DN38" i="1" s="1"/>
  <c r="DN33" i="1"/>
  <c r="DN35" i="1" s="1"/>
  <c r="EK21" i="1"/>
  <c r="EM18" i="1"/>
  <c r="DO18" i="1"/>
  <c r="DD18" i="1"/>
  <c r="CY21" i="1"/>
  <c r="EB12" i="1"/>
  <c r="DW12" i="1"/>
  <c r="EF18" i="1"/>
  <c r="EH18" i="1" s="1"/>
  <c r="DU21" i="1"/>
  <c r="DJ18" i="1"/>
  <c r="DW21" i="1" l="1"/>
  <c r="DW18" i="1"/>
  <c r="DT36" i="1"/>
  <c r="DT38" i="1" s="1"/>
  <c r="EB18" i="1"/>
  <c r="DC36" i="1"/>
  <c r="DC38" i="1" s="1"/>
  <c r="DZ21" i="1"/>
  <c r="EB21" i="1" s="1"/>
  <c r="DY36" i="1"/>
  <c r="DY38" i="1" s="1"/>
  <c r="EK23" i="1"/>
  <c r="EM21" i="1"/>
  <c r="DD21" i="1"/>
  <c r="CY23" i="1"/>
  <c r="DO21" i="1"/>
  <c r="DJ21" i="1"/>
  <c r="DU23" i="1"/>
  <c r="EF21" i="1"/>
  <c r="EH21" i="1" s="1"/>
  <c r="DZ23" i="1" l="1"/>
  <c r="DZ36" i="1" s="1"/>
  <c r="DZ38" i="1" s="1"/>
  <c r="CY36" i="1"/>
  <c r="CY38" i="1" s="1"/>
  <c r="CY33" i="1"/>
  <c r="CY35" i="1" s="1"/>
  <c r="DW23" i="1"/>
  <c r="DU36" i="1"/>
  <c r="DU38" i="1" s="1"/>
  <c r="DU33" i="1"/>
  <c r="DU35" i="1" s="1"/>
  <c r="EM23" i="1"/>
  <c r="EK36" i="1"/>
  <c r="EK38" i="1" s="1"/>
  <c r="EK33" i="1"/>
  <c r="EK35" i="1" s="1"/>
  <c r="DO23" i="1"/>
  <c r="DJ23" i="1"/>
  <c r="EF23" i="1"/>
  <c r="DZ33" i="1" l="1"/>
  <c r="DZ35" i="1" s="1"/>
  <c r="EB23" i="1"/>
  <c r="DO36" i="1"/>
  <c r="DO38" i="1" s="1"/>
  <c r="DO33" i="1"/>
  <c r="DO35" i="1" s="1"/>
  <c r="EH23" i="1"/>
  <c r="EF36" i="1"/>
  <c r="EF38" i="1" s="1"/>
  <c r="EF33" i="1"/>
  <c r="EF35" i="1" s="1"/>
  <c r="DJ36" i="1"/>
  <c r="DJ38" i="1" s="1"/>
  <c r="DJ33" i="1"/>
  <c r="DJ35" i="1" s="1"/>
  <c r="CN9" i="1"/>
  <c r="CN12" i="1" l="1"/>
  <c r="CN28" i="1" s="1"/>
  <c r="CN29" i="1" s="1"/>
  <c r="CR9" i="1"/>
  <c r="CS9" i="1"/>
  <c r="CR12" i="1" l="1"/>
  <c r="CN18" i="1"/>
  <c r="CM9" i="1"/>
  <c r="CR18" i="1" l="1"/>
  <c r="CR21" i="1" s="1"/>
  <c r="CR23" i="1" s="1"/>
  <c r="CR36" i="1" s="1"/>
  <c r="CR38" i="1" s="1"/>
  <c r="CR28" i="1"/>
  <c r="CR29" i="1" s="1"/>
  <c r="CP9" i="1"/>
  <c r="CU9" i="1"/>
  <c r="CN21" i="1"/>
  <c r="DI15" i="1"/>
  <c r="DI22" i="1"/>
  <c r="DI20" i="1"/>
  <c r="DI11" i="1"/>
  <c r="DI19" i="1"/>
  <c r="DI14" i="1"/>
  <c r="DI30" i="1" l="1"/>
  <c r="DI32" i="1" s="1"/>
  <c r="CR33" i="1"/>
  <c r="CR35" i="1" s="1"/>
  <c r="DL19" i="1"/>
  <c r="DQ19" i="1"/>
  <c r="DQ15" i="1"/>
  <c r="DL15" i="1"/>
  <c r="DQ14" i="1"/>
  <c r="DL14" i="1"/>
  <c r="DQ22" i="1"/>
  <c r="DL22" i="1"/>
  <c r="DQ11" i="1"/>
  <c r="DL11" i="1"/>
  <c r="DL20" i="1"/>
  <c r="DQ20" i="1"/>
  <c r="CN23" i="1"/>
  <c r="DI9" i="1"/>
  <c r="DI16" i="1"/>
  <c r="DI27" i="1" s="1"/>
  <c r="CN36" i="1" l="1"/>
  <c r="CN38" i="1" s="1"/>
  <c r="CN33" i="1"/>
  <c r="CN35" i="1" s="1"/>
  <c r="DQ16" i="1"/>
  <c r="DL16" i="1"/>
  <c r="DQ9" i="1"/>
  <c r="DL9" i="1"/>
  <c r="DI12" i="1"/>
  <c r="DI28" i="1" s="1"/>
  <c r="DI29" i="1" s="1"/>
  <c r="DI18" i="1" l="1"/>
  <c r="DI21" i="1" s="1"/>
  <c r="DQ12" i="1"/>
  <c r="DL12" i="1"/>
  <c r="DL21" i="1" l="1"/>
  <c r="DQ21" i="1"/>
  <c r="DL18" i="1"/>
  <c r="DQ18" i="1"/>
  <c r="DI23" i="1"/>
  <c r="DI36" i="1" l="1"/>
  <c r="DI38" i="1" s="1"/>
  <c r="DI33" i="1"/>
  <c r="DI35" i="1" s="1"/>
  <c r="DQ23" i="1"/>
  <c r="DL23" i="1"/>
  <c r="EQ20" i="1"/>
  <c r="BR58" i="1"/>
  <c r="EP20" i="1"/>
  <c r="FL20" i="1" s="1"/>
  <c r="BQ58" i="1"/>
  <c r="EQ11" i="1"/>
  <c r="BR49" i="1"/>
  <c r="EP11" i="1"/>
  <c r="FL11" i="1" s="1"/>
  <c r="BQ49" i="1"/>
  <c r="EV15" i="1"/>
  <c r="BW53" i="1"/>
  <c r="EU14" i="1"/>
  <c r="FQ14" i="1" s="1"/>
  <c r="BV52" i="1"/>
  <c r="EQ19" i="1"/>
  <c r="BR57" i="1"/>
  <c r="EP19" i="1"/>
  <c r="BQ57" i="1"/>
  <c r="EU20" i="1"/>
  <c r="FQ20" i="1" s="1"/>
  <c r="BV58" i="1"/>
  <c r="EQ22" i="1"/>
  <c r="BR60" i="1"/>
  <c r="EP22" i="1"/>
  <c r="FL22" i="1" s="1"/>
  <c r="BQ60" i="1"/>
  <c r="EV11" i="1"/>
  <c r="BW49" i="1"/>
  <c r="EQ15" i="1"/>
  <c r="BR53" i="1"/>
  <c r="EP15" i="1"/>
  <c r="FL15" i="1" s="1"/>
  <c r="BQ53" i="1"/>
  <c r="EV19" i="1"/>
  <c r="BW57" i="1"/>
  <c r="EV22" i="1"/>
  <c r="BW60" i="1"/>
  <c r="EU15" i="1"/>
  <c r="FQ15" i="1" s="1"/>
  <c r="BV53" i="1"/>
  <c r="EQ14" i="1"/>
  <c r="BR52" i="1"/>
  <c r="EP14" i="1"/>
  <c r="FL14" i="1" s="1"/>
  <c r="BQ52" i="1"/>
  <c r="BT48" i="1"/>
  <c r="BV49" i="1"/>
  <c r="EU11" i="1"/>
  <c r="FQ11" i="1" s="1"/>
  <c r="EV14" i="1"/>
  <c r="EX14" i="1" s="1"/>
  <c r="BW52" i="1"/>
  <c r="EU19" i="1"/>
  <c r="EU30" i="1" s="1"/>
  <c r="BV57" i="1"/>
  <c r="EV20" i="1"/>
  <c r="BW58" i="1"/>
  <c r="EU22" i="1"/>
  <c r="FQ22" i="1" s="1"/>
  <c r="BV60" i="1"/>
  <c r="EP30" i="1" l="1"/>
  <c r="EP32" i="1" s="1"/>
  <c r="EV30" i="1"/>
  <c r="EV32" i="1" s="1"/>
  <c r="EQ30" i="1"/>
  <c r="EQ32" i="1" s="1"/>
  <c r="FQ19" i="1"/>
  <c r="EU32" i="1"/>
  <c r="FR20" i="1"/>
  <c r="FT20" i="1" s="1"/>
  <c r="EX20" i="1"/>
  <c r="FR19" i="1"/>
  <c r="EX19" i="1"/>
  <c r="FM15" i="1"/>
  <c r="FO15" i="1" s="1"/>
  <c r="ES15" i="1"/>
  <c r="FM19" i="1"/>
  <c r="ES19" i="1"/>
  <c r="FR15" i="1"/>
  <c r="FT15" i="1" s="1"/>
  <c r="EX15" i="1"/>
  <c r="FM11" i="1"/>
  <c r="FO11" i="1" s="1"/>
  <c r="ES11" i="1"/>
  <c r="FM20" i="1"/>
  <c r="FO20" i="1" s="1"/>
  <c r="ES20" i="1"/>
  <c r="BY58" i="1"/>
  <c r="FM14" i="1"/>
  <c r="FO14" i="1" s="1"/>
  <c r="ES14" i="1"/>
  <c r="FR22" i="1"/>
  <c r="FT22" i="1" s="1"/>
  <c r="EX22" i="1"/>
  <c r="FR11" i="1"/>
  <c r="FT11" i="1" s="1"/>
  <c r="EX11" i="1"/>
  <c r="FM22" i="1"/>
  <c r="FO22" i="1" s="1"/>
  <c r="ES22" i="1"/>
  <c r="EV16" i="1"/>
  <c r="FR14" i="1"/>
  <c r="FT14" i="1" s="1"/>
  <c r="FL19" i="1"/>
  <c r="EU16" i="1"/>
  <c r="EU27" i="1" s="1"/>
  <c r="BY57" i="1"/>
  <c r="BQ54" i="1"/>
  <c r="EV9" i="1"/>
  <c r="BW47" i="1"/>
  <c r="BW65" i="1"/>
  <c r="BY52" i="1"/>
  <c r="BW54" i="1"/>
  <c r="EP16" i="1"/>
  <c r="EP27" i="1" s="1"/>
  <c r="BT57" i="1"/>
  <c r="BY53" i="1"/>
  <c r="EQ9" i="1"/>
  <c r="BR47" i="1"/>
  <c r="BR65" i="1"/>
  <c r="BT58" i="1"/>
  <c r="EQ16" i="1"/>
  <c r="EQ27" i="1" s="1"/>
  <c r="BT53" i="1"/>
  <c r="EU9" i="1"/>
  <c r="BV65" i="1"/>
  <c r="BV47" i="1"/>
  <c r="BV50" i="1" s="1"/>
  <c r="BR54" i="1"/>
  <c r="BT52" i="1"/>
  <c r="BY60" i="1"/>
  <c r="BY49" i="1"/>
  <c r="BY48" i="1"/>
  <c r="BT60" i="1"/>
  <c r="BV54" i="1"/>
  <c r="BT49" i="1"/>
  <c r="EP9" i="1"/>
  <c r="BQ65" i="1"/>
  <c r="BQ47" i="1"/>
  <c r="BQ50" i="1" s="1"/>
  <c r="FM30" i="1" l="1"/>
  <c r="FM32" i="1" s="1"/>
  <c r="FR30" i="1"/>
  <c r="FR32" i="1" s="1"/>
  <c r="FQ30" i="1"/>
  <c r="FQ32" i="1" s="1"/>
  <c r="FL30" i="1"/>
  <c r="FL32" i="1" s="1"/>
  <c r="EX16" i="1"/>
  <c r="EV27" i="1"/>
  <c r="BT54" i="1"/>
  <c r="ES16" i="1"/>
  <c r="EX9" i="1"/>
  <c r="FO19" i="1"/>
  <c r="FT19" i="1"/>
  <c r="FM9" i="1"/>
  <c r="ES9" i="1"/>
  <c r="EU12" i="1"/>
  <c r="FQ9" i="1"/>
  <c r="EV12" i="1"/>
  <c r="EV28" i="1" s="1"/>
  <c r="FR9" i="1"/>
  <c r="BV56" i="1"/>
  <c r="BV59" i="1" s="1"/>
  <c r="BV61" i="1" s="1"/>
  <c r="EP12" i="1"/>
  <c r="FL9" i="1"/>
  <c r="BQ56" i="1"/>
  <c r="BQ59" i="1" s="1"/>
  <c r="BQ61" i="1" s="1"/>
  <c r="BY54" i="1"/>
  <c r="BR50" i="1"/>
  <c r="BT47" i="1"/>
  <c r="EQ12" i="1"/>
  <c r="EQ28" i="1" s="1"/>
  <c r="EQ29" i="1" s="1"/>
  <c r="BY47" i="1"/>
  <c r="BW50" i="1"/>
  <c r="EV29" i="1" l="1"/>
  <c r="EP18" i="1"/>
  <c r="EP21" i="1" s="1"/>
  <c r="EP23" i="1" s="1"/>
  <c r="EP33" i="1" s="1"/>
  <c r="EP35" i="1" s="1"/>
  <c r="EP28" i="1"/>
  <c r="EP29" i="1" s="1"/>
  <c r="EU18" i="1"/>
  <c r="EU21" i="1" s="1"/>
  <c r="EU23" i="1" s="1"/>
  <c r="EU33" i="1" s="1"/>
  <c r="EU35" i="1" s="1"/>
  <c r="EU28" i="1"/>
  <c r="EU29" i="1" s="1"/>
  <c r="FQ12" i="1"/>
  <c r="FQ28" i="1" s="1"/>
  <c r="FR12" i="1"/>
  <c r="FR28" i="1" s="1"/>
  <c r="FT9" i="1"/>
  <c r="EV18" i="1"/>
  <c r="EX12" i="1"/>
  <c r="FM12" i="1"/>
  <c r="FM28" i="1" s="1"/>
  <c r="FO9" i="1"/>
  <c r="ES12" i="1"/>
  <c r="BY50" i="1"/>
  <c r="BW56" i="1"/>
  <c r="EQ18" i="1"/>
  <c r="BT50" i="1"/>
  <c r="BR56" i="1"/>
  <c r="EU36" i="1" l="1"/>
  <c r="EU38" i="1" s="1"/>
  <c r="ES18" i="1"/>
  <c r="EP36" i="1"/>
  <c r="EP38" i="1" s="1"/>
  <c r="EV21" i="1"/>
  <c r="EX18" i="1"/>
  <c r="BR59" i="1"/>
  <c r="BT56" i="1"/>
  <c r="EQ21" i="1"/>
  <c r="ES21" i="1" s="1"/>
  <c r="BY56" i="1"/>
  <c r="BW59" i="1"/>
  <c r="EV23" i="1" l="1"/>
  <c r="EX21" i="1"/>
  <c r="BY59" i="1"/>
  <c r="BW61" i="1"/>
  <c r="BY61" i="1" s="1"/>
  <c r="EQ23" i="1"/>
  <c r="BR61" i="1"/>
  <c r="BT61" i="1" s="1"/>
  <c r="BT59" i="1"/>
  <c r="ES23" i="1" l="1"/>
  <c r="EQ36" i="1"/>
  <c r="EQ38" i="1" s="1"/>
  <c r="EQ33" i="1"/>
  <c r="EQ35" i="1" s="1"/>
  <c r="EX23" i="1"/>
  <c r="EV36" i="1"/>
  <c r="EV38" i="1" s="1"/>
  <c r="EV33" i="1"/>
  <c r="EV35" i="1" s="1"/>
  <c r="BA11" i="3" l="1"/>
  <c r="AP43" i="2" s="1"/>
  <c r="AZ11" i="3"/>
  <c r="AO43" i="2" s="1"/>
  <c r="AV11" i="3"/>
  <c r="AK43" i="2" s="1"/>
  <c r="AU11" i="3"/>
  <c r="AP11" i="3"/>
  <c r="AP34" i="1" s="1"/>
  <c r="AO11" i="3"/>
  <c r="AO34" i="1" s="1"/>
  <c r="AK11" i="3"/>
  <c r="AK34" i="1" s="1"/>
  <c r="AJ11" i="3"/>
  <c r="AE11" i="3"/>
  <c r="AD11" i="3"/>
  <c r="Z11" i="3"/>
  <c r="Y11" i="3"/>
  <c r="I11" i="3"/>
  <c r="H11" i="3"/>
  <c r="D11" i="3"/>
  <c r="D6" i="6" s="1"/>
  <c r="C34" i="1"/>
  <c r="AO65" i="2"/>
  <c r="AK65" i="2"/>
  <c r="S65" i="2"/>
  <c r="O65" i="2"/>
  <c r="Q65" i="2" s="1"/>
  <c r="N65" i="2"/>
  <c r="I65" i="2"/>
  <c r="K65" i="2" s="1"/>
  <c r="H65" i="2"/>
  <c r="D65" i="2"/>
  <c r="C65" i="2"/>
  <c r="N22" i="2"/>
  <c r="CH15" i="1"/>
  <c r="CG15" i="1"/>
  <c r="BV15" i="1" s="1"/>
  <c r="CH14" i="1"/>
  <c r="CG14" i="1"/>
  <c r="CH11" i="1"/>
  <c r="CG11" i="1"/>
  <c r="BV11" i="1" s="1"/>
  <c r="CH10" i="1"/>
  <c r="CG10" i="1"/>
  <c r="CH9" i="1"/>
  <c r="CG9" i="1"/>
  <c r="CH22" i="1"/>
  <c r="CG22" i="1"/>
  <c r="BV22" i="1" s="1"/>
  <c r="CH20" i="1"/>
  <c r="CG20" i="1"/>
  <c r="BV20" i="1" s="1"/>
  <c r="CH19" i="1"/>
  <c r="CG19" i="1"/>
  <c r="CC22" i="1"/>
  <c r="CB22" i="1"/>
  <c r="BQ22" i="1" s="1"/>
  <c r="I18" i="5" s="1"/>
  <c r="K18" i="5" s="1"/>
  <c r="CC20" i="1"/>
  <c r="CB20" i="1"/>
  <c r="BQ20" i="1" s="1"/>
  <c r="I16" i="5" s="1"/>
  <c r="K16" i="5" s="1"/>
  <c r="CC19" i="1"/>
  <c r="CC30" i="1" s="1"/>
  <c r="CB19" i="1"/>
  <c r="CC15" i="1"/>
  <c r="CB15" i="1"/>
  <c r="CC14" i="1"/>
  <c r="CB14" i="1"/>
  <c r="CC11" i="1"/>
  <c r="CB11" i="1"/>
  <c r="BQ11" i="1" s="1"/>
  <c r="I7" i="5" s="1"/>
  <c r="K7" i="5" s="1"/>
  <c r="CC10" i="1"/>
  <c r="CB10" i="1"/>
  <c r="BQ10" i="1" s="1"/>
  <c r="I6" i="5" s="1"/>
  <c r="K6" i="5" s="1"/>
  <c r="CC9" i="1"/>
  <c r="CB9" i="1"/>
  <c r="BR19" i="1"/>
  <c r="BQ14" i="1"/>
  <c r="I10" i="5" s="1"/>
  <c r="FR16" i="1"/>
  <c r="FR27" i="1" s="1"/>
  <c r="FR29" i="1" s="1"/>
  <c r="FQ16" i="1"/>
  <c r="FM16" i="1"/>
  <c r="FL16" i="1"/>
  <c r="FL27" i="1" s="1"/>
  <c r="FL12" i="1"/>
  <c r="FL28" i="1" s="1"/>
  <c r="CX16" i="1"/>
  <c r="CX27" i="1" s="1"/>
  <c r="CX12" i="1"/>
  <c r="CX28" i="1" s="1"/>
  <c r="CS16" i="1"/>
  <c r="CS27" i="1" s="1"/>
  <c r="CM16" i="1"/>
  <c r="CS12" i="1"/>
  <c r="CS28" i="1" s="1"/>
  <c r="CM12" i="1"/>
  <c r="N24" i="2" l="1"/>
  <c r="N70" i="2" s="1"/>
  <c r="N72" i="2" s="1"/>
  <c r="U26" i="5"/>
  <c r="F6" i="6"/>
  <c r="K11" i="3"/>
  <c r="E6" i="6"/>
  <c r="H34" i="1"/>
  <c r="H43" i="2"/>
  <c r="I34" i="1"/>
  <c r="I43" i="2"/>
  <c r="K43" i="2" s="1"/>
  <c r="D34" i="1"/>
  <c r="D43" i="2"/>
  <c r="F43" i="2" s="1"/>
  <c r="AG11" i="3"/>
  <c r="AB11" i="3"/>
  <c r="K10" i="5"/>
  <c r="CB30" i="1"/>
  <c r="CB32" i="1" s="1"/>
  <c r="F65" i="2"/>
  <c r="BR32" i="1"/>
  <c r="BR30" i="1"/>
  <c r="CG30" i="1"/>
  <c r="CG32" i="1" s="1"/>
  <c r="CH30" i="1"/>
  <c r="CH32" i="1" s="1"/>
  <c r="T43" i="2"/>
  <c r="T34" i="1"/>
  <c r="S43" i="2"/>
  <c r="S34" i="1"/>
  <c r="O43" i="2"/>
  <c r="O34" i="1"/>
  <c r="U31" i="5"/>
  <c r="W31" i="5" s="1"/>
  <c r="N43" i="2"/>
  <c r="N34" i="1"/>
  <c r="AJ43" i="2"/>
  <c r="AM43" i="2" s="1"/>
  <c r="I31" i="5"/>
  <c r="AE34" i="1"/>
  <c r="AP35" i="1"/>
  <c r="AD34" i="1"/>
  <c r="AO35" i="1"/>
  <c r="Z34" i="1"/>
  <c r="AK35" i="1"/>
  <c r="F11" i="3"/>
  <c r="CS29" i="1"/>
  <c r="FL29" i="1"/>
  <c r="CP12" i="1"/>
  <c r="CM28" i="1"/>
  <c r="CX29" i="1"/>
  <c r="K20" i="2"/>
  <c r="F20" i="2"/>
  <c r="AX11" i="3"/>
  <c r="CE10" i="1"/>
  <c r="CE22" i="1"/>
  <c r="CJ20" i="1"/>
  <c r="BC11" i="3"/>
  <c r="FO16" i="1"/>
  <c r="FM27" i="1"/>
  <c r="FM29" i="1" s="1"/>
  <c r="CE19" i="1"/>
  <c r="CC32" i="1"/>
  <c r="FQ18" i="1"/>
  <c r="FQ21" i="1" s="1"/>
  <c r="FQ23" i="1" s="1"/>
  <c r="FQ27" i="1"/>
  <c r="FQ29" i="1" s="1"/>
  <c r="BQ9" i="1"/>
  <c r="CP16" i="1"/>
  <c r="CM27" i="1"/>
  <c r="BV9" i="1"/>
  <c r="CU16" i="1"/>
  <c r="DA12" i="1"/>
  <c r="DF12" i="1"/>
  <c r="BW9" i="1"/>
  <c r="CJ9" i="1"/>
  <c r="BW15" i="1"/>
  <c r="CJ15" i="1"/>
  <c r="CU12" i="1"/>
  <c r="DA16" i="1"/>
  <c r="DF16" i="1"/>
  <c r="FT12" i="1"/>
  <c r="FO12" i="1"/>
  <c r="FT16" i="1"/>
  <c r="CE9" i="1"/>
  <c r="CE11" i="1"/>
  <c r="BR15" i="1"/>
  <c r="CE15" i="1"/>
  <c r="BR20" i="1"/>
  <c r="BT20" i="1" s="1"/>
  <c r="CE20" i="1"/>
  <c r="CJ19" i="1"/>
  <c r="CJ22" i="1"/>
  <c r="CJ10" i="1"/>
  <c r="CJ14" i="1"/>
  <c r="BR14" i="1"/>
  <c r="CE14" i="1"/>
  <c r="BW11" i="1"/>
  <c r="CJ11" i="1"/>
  <c r="AR11" i="3"/>
  <c r="AM11" i="3"/>
  <c r="FR18" i="1"/>
  <c r="FR21" i="1" s="1"/>
  <c r="CM18" i="1"/>
  <c r="AR57" i="2"/>
  <c r="CS18" i="1"/>
  <c r="CG16" i="1"/>
  <c r="CG27" i="1" s="1"/>
  <c r="CX18" i="1"/>
  <c r="CH16" i="1"/>
  <c r="CH27" i="1" s="1"/>
  <c r="CH12" i="1"/>
  <c r="CH28" i="1" s="1"/>
  <c r="BQ15" i="1"/>
  <c r="I11" i="5" s="1"/>
  <c r="K11" i="5" s="1"/>
  <c r="BR11" i="1"/>
  <c r="BW14" i="1"/>
  <c r="CC12" i="1"/>
  <c r="CC28" i="1" s="1"/>
  <c r="Y22" i="1"/>
  <c r="C22" i="1" s="1"/>
  <c r="AD20" i="1"/>
  <c r="H20" i="1" s="1"/>
  <c r="AD11" i="1"/>
  <c r="H11" i="1" s="1"/>
  <c r="Y14" i="1"/>
  <c r="C14" i="1" s="1"/>
  <c r="AD22" i="1"/>
  <c r="H22" i="1" s="1"/>
  <c r="AD15" i="1"/>
  <c r="H15" i="1" s="1"/>
  <c r="BQ19" i="1"/>
  <c r="BR22" i="1"/>
  <c r="BT22" i="1" s="1"/>
  <c r="CB16" i="1"/>
  <c r="CB27" i="1" s="1"/>
  <c r="Y20" i="1"/>
  <c r="C20" i="1" s="1"/>
  <c r="CG12" i="1"/>
  <c r="CG28" i="1" s="1"/>
  <c r="FM18" i="1"/>
  <c r="BW20" i="1"/>
  <c r="CC16" i="1"/>
  <c r="CC27" i="1" s="1"/>
  <c r="BR9" i="1"/>
  <c r="AO16" i="3"/>
  <c r="AJ16" i="3"/>
  <c r="AJ65" i="2"/>
  <c r="AM65" i="2" s="1"/>
  <c r="AP65" i="2"/>
  <c r="T65" i="2"/>
  <c r="V65" i="2" s="1"/>
  <c r="C22" i="2"/>
  <c r="C24" i="2" s="1"/>
  <c r="O22" i="2"/>
  <c r="Q22" i="2" s="1"/>
  <c r="AO24" i="2"/>
  <c r="S22" i="2"/>
  <c r="S24" i="2" s="1"/>
  <c r="AJ24" i="2"/>
  <c r="I28" i="5" s="1"/>
  <c r="K28" i="5" s="1"/>
  <c r="I22" i="2"/>
  <c r="T22" i="2"/>
  <c r="V22" i="2" s="1"/>
  <c r="AK24" i="2"/>
  <c r="D22" i="2"/>
  <c r="H22" i="2"/>
  <c r="H24" i="2" s="1"/>
  <c r="BW22" i="1"/>
  <c r="BV19" i="1"/>
  <c r="BW19" i="1"/>
  <c r="BV14" i="1"/>
  <c r="BW10" i="1"/>
  <c r="BY10" i="1" s="1"/>
  <c r="BR10" i="1"/>
  <c r="BV10" i="1"/>
  <c r="Z19" i="1"/>
  <c r="Z30" i="1" s="1"/>
  <c r="Y11" i="1"/>
  <c r="C11" i="1" s="1"/>
  <c r="Y10" i="1"/>
  <c r="C10" i="1" s="1"/>
  <c r="CB12" i="1"/>
  <c r="CB28" i="1" s="1"/>
  <c r="FL18" i="1"/>
  <c r="FL21" i="1" s="1"/>
  <c r="FL23" i="1" s="1"/>
  <c r="S27" i="1"/>
  <c r="N27" i="1"/>
  <c r="S28" i="1"/>
  <c r="N28" i="1"/>
  <c r="N45" i="2" l="1"/>
  <c r="C26" i="5"/>
  <c r="E26" i="5" s="1"/>
  <c r="W26" i="5"/>
  <c r="U28" i="5"/>
  <c r="K31" i="5"/>
  <c r="C31" i="5"/>
  <c r="E31" i="5" s="1"/>
  <c r="C6" i="6" s="1"/>
  <c r="AR43" i="2"/>
  <c r="BW30" i="1"/>
  <c r="BW32" i="1" s="1"/>
  <c r="I15" i="5"/>
  <c r="K15" i="5" s="1"/>
  <c r="BQ30" i="1"/>
  <c r="BQ32" i="1" s="1"/>
  <c r="BV30" i="1"/>
  <c r="BV32" i="1" s="1"/>
  <c r="Y9" i="1"/>
  <c r="I5" i="5"/>
  <c r="I12" i="5"/>
  <c r="K12" i="5" s="1"/>
  <c r="V43" i="2"/>
  <c r="Q43" i="2"/>
  <c r="O28" i="1"/>
  <c r="S29" i="1"/>
  <c r="T28" i="1"/>
  <c r="T27" i="1"/>
  <c r="CH29" i="1"/>
  <c r="O27" i="1"/>
  <c r="O29" i="1" s="1"/>
  <c r="N29" i="1"/>
  <c r="CC29" i="1"/>
  <c r="CM29" i="1"/>
  <c r="S70" i="2"/>
  <c r="S72" i="2" s="1"/>
  <c r="S45" i="2"/>
  <c r="H36" i="2"/>
  <c r="H70" i="2"/>
  <c r="H72" i="2" s="1"/>
  <c r="H45" i="2"/>
  <c r="I24" i="2"/>
  <c r="F4" i="6" s="1"/>
  <c r="K22" i="2"/>
  <c r="D24" i="2"/>
  <c r="E4" i="6" s="1"/>
  <c r="F22" i="2"/>
  <c r="C36" i="2"/>
  <c r="C70" i="2"/>
  <c r="C72" i="2" s="1"/>
  <c r="C45" i="2"/>
  <c r="CG29" i="1"/>
  <c r="Z32" i="1"/>
  <c r="D19" i="1"/>
  <c r="AJ45" i="2"/>
  <c r="AJ36" i="2"/>
  <c r="AJ70" i="2"/>
  <c r="AJ72" i="2" s="1"/>
  <c r="AK36" i="2"/>
  <c r="AK70" i="2"/>
  <c r="AK72" i="2" s="1"/>
  <c r="C9" i="1"/>
  <c r="AD9" i="1"/>
  <c r="AO45" i="2"/>
  <c r="AO70" i="2"/>
  <c r="AO72" i="2" s="1"/>
  <c r="AO36" i="2"/>
  <c r="FL36" i="1"/>
  <c r="FL38" i="1" s="1"/>
  <c r="FL33" i="1"/>
  <c r="FL35" i="1" s="1"/>
  <c r="BY9" i="1"/>
  <c r="BQ12" i="1"/>
  <c r="BQ28" i="1" s="1"/>
  <c r="CB29" i="1"/>
  <c r="BT19" i="1"/>
  <c r="FQ36" i="1"/>
  <c r="FQ38" i="1" s="1"/>
  <c r="FQ33" i="1"/>
  <c r="FQ35" i="1" s="1"/>
  <c r="AE9" i="1"/>
  <c r="I9" i="1" s="1"/>
  <c r="BR16" i="1"/>
  <c r="BR27" i="1" s="1"/>
  <c r="Z20" i="1"/>
  <c r="Z9" i="1"/>
  <c r="D9" i="1" s="1"/>
  <c r="BT9" i="1"/>
  <c r="Z15" i="1"/>
  <c r="D15" i="1" s="1"/>
  <c r="BT15" i="1"/>
  <c r="AE19" i="1"/>
  <c r="AE30" i="1" s="1"/>
  <c r="BY19" i="1"/>
  <c r="CE16" i="1"/>
  <c r="CE12" i="1"/>
  <c r="CJ12" i="1"/>
  <c r="CS21" i="1"/>
  <c r="CU18" i="1"/>
  <c r="CM21" i="1"/>
  <c r="CP18" i="1"/>
  <c r="FT21" i="1"/>
  <c r="Z10" i="1"/>
  <c r="BT10" i="1"/>
  <c r="AV9" i="4"/>
  <c r="Z9" i="4" s="1"/>
  <c r="D9" i="4" s="1"/>
  <c r="AK45" i="2"/>
  <c r="AM24" i="2"/>
  <c r="AE20" i="1"/>
  <c r="BY20" i="1"/>
  <c r="AE14" i="1"/>
  <c r="I14" i="1" s="1"/>
  <c r="BY14" i="1"/>
  <c r="CJ16" i="1"/>
  <c r="FT18" i="1"/>
  <c r="AE11" i="1"/>
  <c r="BY11" i="1"/>
  <c r="AE15" i="1"/>
  <c r="I15" i="1" s="1"/>
  <c r="BY15" i="1"/>
  <c r="AG9" i="1"/>
  <c r="Z14" i="1"/>
  <c r="D14" i="1" s="1"/>
  <c r="BT14" i="1"/>
  <c r="AE22" i="1"/>
  <c r="BY22" i="1"/>
  <c r="FM21" i="1"/>
  <c r="FO21" i="1" s="1"/>
  <c r="FO18" i="1"/>
  <c r="Z11" i="1"/>
  <c r="BT11" i="1"/>
  <c r="CX21" i="1"/>
  <c r="DA18" i="1"/>
  <c r="DF18" i="1"/>
  <c r="AU9" i="4"/>
  <c r="Y9" i="4" s="1"/>
  <c r="C9" i="4" s="1"/>
  <c r="AZ9" i="4"/>
  <c r="AD9" i="4" s="1"/>
  <c r="H9" i="4" s="1"/>
  <c r="AR65" i="2"/>
  <c r="CG18" i="1"/>
  <c r="CG21" i="1" s="1"/>
  <c r="CG23" i="1" s="1"/>
  <c r="O24" i="2"/>
  <c r="BQ16" i="1"/>
  <c r="Y15" i="1"/>
  <c r="C15" i="1" s="1"/>
  <c r="C16" i="1" s="1"/>
  <c r="C27" i="1" s="1"/>
  <c r="CH18" i="1"/>
  <c r="BW16" i="1"/>
  <c r="AE10" i="1"/>
  <c r="I10" i="1" s="1"/>
  <c r="K10" i="1" s="1"/>
  <c r="CB18" i="1"/>
  <c r="CB21" i="1" s="1"/>
  <c r="CB23" i="1" s="1"/>
  <c r="Z22" i="1"/>
  <c r="BV16" i="1"/>
  <c r="BV27" i="1" s="1"/>
  <c r="Y12" i="1"/>
  <c r="Y28" i="1" s="1"/>
  <c r="CC18" i="1"/>
  <c r="AD19" i="1"/>
  <c r="AD30" i="1" s="1"/>
  <c r="Y19" i="1"/>
  <c r="AP24" i="2"/>
  <c r="T24" i="2"/>
  <c r="AD14" i="1"/>
  <c r="BW12" i="1"/>
  <c r="BW28" i="1" s="1"/>
  <c r="BR12" i="1"/>
  <c r="BR28" i="1" s="1"/>
  <c r="BV12" i="1"/>
  <c r="BV28" i="1" s="1"/>
  <c r="AD10" i="1"/>
  <c r="FR23" i="1"/>
  <c r="C28" i="5" l="1"/>
  <c r="E28" i="5" s="1"/>
  <c r="C4" i="6" s="1"/>
  <c r="W28" i="5"/>
  <c r="D30" i="1"/>
  <c r="D14" i="4"/>
  <c r="D11" i="4"/>
  <c r="F9" i="4"/>
  <c r="I8" i="5"/>
  <c r="K5" i="5"/>
  <c r="H11" i="4"/>
  <c r="C11" i="4"/>
  <c r="C19" i="1"/>
  <c r="C30" i="1" s="1"/>
  <c r="C32" i="1" s="1"/>
  <c r="C8" i="6" s="1"/>
  <c r="Y30" i="1"/>
  <c r="Y32" i="1" s="1"/>
  <c r="S36" i="1"/>
  <c r="S38" i="1" s="1"/>
  <c r="S33" i="1"/>
  <c r="S35" i="1" s="1"/>
  <c r="N36" i="1"/>
  <c r="N38" i="1" s="1"/>
  <c r="N33" i="1"/>
  <c r="N35" i="1" s="1"/>
  <c r="BV29" i="1"/>
  <c r="T29" i="1"/>
  <c r="I36" i="2"/>
  <c r="I70" i="2"/>
  <c r="I72" i="2" s="1"/>
  <c r="I45" i="2"/>
  <c r="K24" i="2"/>
  <c r="T70" i="2"/>
  <c r="T72" i="2" s="1"/>
  <c r="V24" i="2"/>
  <c r="T45" i="2"/>
  <c r="O70" i="2"/>
  <c r="O72" i="2" s="1"/>
  <c r="O45" i="2"/>
  <c r="Q24" i="2"/>
  <c r="D36" i="2"/>
  <c r="D70" i="2"/>
  <c r="D72" i="2" s="1"/>
  <c r="F24" i="2"/>
  <c r="D4" i="6" s="1"/>
  <c r="D45" i="2"/>
  <c r="BY12" i="1"/>
  <c r="BR29" i="1"/>
  <c r="AB22" i="1"/>
  <c r="D22" i="1"/>
  <c r="F22" i="1" s="1"/>
  <c r="Y11" i="4"/>
  <c r="AP36" i="2"/>
  <c r="AP70" i="2"/>
  <c r="AP72" i="2" s="1"/>
  <c r="AB11" i="1"/>
  <c r="D11" i="1"/>
  <c r="F11" i="1" s="1"/>
  <c r="AG22" i="1"/>
  <c r="I22" i="1"/>
  <c r="K22" i="1" s="1"/>
  <c r="AB9" i="4"/>
  <c r="Z11" i="4"/>
  <c r="AE32" i="1"/>
  <c r="I19" i="1"/>
  <c r="F9" i="1"/>
  <c r="AD32" i="1"/>
  <c r="H19" i="1"/>
  <c r="E7" i="6" s="1"/>
  <c r="K15" i="1"/>
  <c r="AG20" i="1"/>
  <c r="I20" i="1"/>
  <c r="K20" i="1" s="1"/>
  <c r="AB20" i="1"/>
  <c r="D20" i="1"/>
  <c r="F20" i="1" s="1"/>
  <c r="AD12" i="1"/>
  <c r="AD28" i="1" s="1"/>
  <c r="H10" i="1"/>
  <c r="AD16" i="1"/>
  <c r="AD27" i="1" s="1"/>
  <c r="H14" i="1"/>
  <c r="H16" i="1" s="1"/>
  <c r="AD11" i="4"/>
  <c r="F14" i="1"/>
  <c r="D16" i="1"/>
  <c r="AB10" i="1"/>
  <c r="D10" i="1"/>
  <c r="F10" i="1" s="1"/>
  <c r="F15" i="1"/>
  <c r="H9" i="1"/>
  <c r="D32" i="1"/>
  <c r="D8" i="6" s="1"/>
  <c r="AG11" i="1"/>
  <c r="I11" i="1"/>
  <c r="K11" i="1" s="1"/>
  <c r="K14" i="1"/>
  <c r="I16" i="1"/>
  <c r="F11" i="6" s="1"/>
  <c r="K9" i="1"/>
  <c r="C12" i="1"/>
  <c r="BY16" i="1"/>
  <c r="BW27" i="1"/>
  <c r="BW29" i="1" s="1"/>
  <c r="BT12" i="1"/>
  <c r="AB19" i="1"/>
  <c r="BQ18" i="1"/>
  <c r="BQ21" i="1" s="1"/>
  <c r="BQ23" i="1" s="1"/>
  <c r="AU18" i="3" s="1"/>
  <c r="Y18" i="3" s="1"/>
  <c r="C18" i="3" s="1"/>
  <c r="BQ27" i="1"/>
  <c r="BQ29" i="1" s="1"/>
  <c r="FT23" i="1"/>
  <c r="FR36" i="1"/>
  <c r="FR38" i="1" s="1"/>
  <c r="FR33" i="1"/>
  <c r="FR35" i="1" s="1"/>
  <c r="CB36" i="1"/>
  <c r="CB38" i="1" s="1"/>
  <c r="CB33" i="1"/>
  <c r="CB35" i="1" s="1"/>
  <c r="CG36" i="1"/>
  <c r="CG38" i="1" s="1"/>
  <c r="CG33" i="1"/>
  <c r="CG35" i="1" s="1"/>
  <c r="AB9" i="1"/>
  <c r="FM23" i="1"/>
  <c r="CU21" i="1"/>
  <c r="AB15" i="1"/>
  <c r="CE18" i="1"/>
  <c r="Z12" i="1"/>
  <c r="CS23" i="1"/>
  <c r="AE16" i="1"/>
  <c r="AE27" i="1" s="1"/>
  <c r="AG14" i="1"/>
  <c r="AX9" i="4"/>
  <c r="AV14" i="4"/>
  <c r="AV11" i="4"/>
  <c r="AU11" i="4"/>
  <c r="AG15" i="1"/>
  <c r="AG19" i="1"/>
  <c r="AZ11" i="4"/>
  <c r="CH21" i="1"/>
  <c r="CJ18" i="1"/>
  <c r="AR24" i="2"/>
  <c r="AP45" i="2"/>
  <c r="AE12" i="1"/>
  <c r="AE28" i="1" s="1"/>
  <c r="AG10" i="1"/>
  <c r="CX23" i="1"/>
  <c r="DA21" i="1"/>
  <c r="DF21" i="1"/>
  <c r="AB14" i="1"/>
  <c r="Z16" i="1"/>
  <c r="Z27" i="1" s="1"/>
  <c r="CM23" i="1"/>
  <c r="CP21" i="1"/>
  <c r="BT16" i="1"/>
  <c r="BA9" i="4"/>
  <c r="AE9" i="4" s="1"/>
  <c r="I9" i="4" s="1"/>
  <c r="Y16" i="1"/>
  <c r="Y27" i="1" s="1"/>
  <c r="Y29" i="1" s="1"/>
  <c r="BW18" i="1"/>
  <c r="BV18" i="1"/>
  <c r="BV21" i="1" s="1"/>
  <c r="BV23" i="1" s="1"/>
  <c r="CC21" i="1"/>
  <c r="CE21" i="1" s="1"/>
  <c r="AP16" i="3"/>
  <c r="AR16" i="3" s="1"/>
  <c r="AK16" i="3"/>
  <c r="AM16" i="3" s="1"/>
  <c r="BR18" i="1"/>
  <c r="BT18" i="1" s="1"/>
  <c r="DD23" i="1"/>
  <c r="H27" i="1" l="1"/>
  <c r="E11" i="6"/>
  <c r="D7" i="6"/>
  <c r="I30" i="1"/>
  <c r="F7" i="6"/>
  <c r="I12" i="1"/>
  <c r="F11" i="4"/>
  <c r="I14" i="4"/>
  <c r="I11" i="4"/>
  <c r="K11" i="4" s="1"/>
  <c r="K9" i="4"/>
  <c r="I14" i="5"/>
  <c r="K8" i="5"/>
  <c r="F19" i="1"/>
  <c r="H30" i="1"/>
  <c r="H32" i="1" s="1"/>
  <c r="E8" i="6" s="1"/>
  <c r="C18" i="1"/>
  <c r="C21" i="1" s="1"/>
  <c r="C23" i="1" s="1"/>
  <c r="C28" i="1"/>
  <c r="C29" i="1" s="1"/>
  <c r="C13" i="6" s="1"/>
  <c r="O36" i="1"/>
  <c r="O38" i="1" s="1"/>
  <c r="O33" i="1"/>
  <c r="O35" i="1" s="1"/>
  <c r="AB12" i="1"/>
  <c r="Z28" i="1"/>
  <c r="Z29" i="1" s="1"/>
  <c r="AD18" i="1"/>
  <c r="AD21" i="1" s="1"/>
  <c r="AD23" i="1" s="1"/>
  <c r="AD33" i="1" s="1"/>
  <c r="AD35" i="1" s="1"/>
  <c r="D12" i="1"/>
  <c r="D18" i="1" s="1"/>
  <c r="AB11" i="4"/>
  <c r="F16" i="1"/>
  <c r="D11" i="6" s="1"/>
  <c r="D27" i="1"/>
  <c r="K12" i="1"/>
  <c r="I18" i="1"/>
  <c r="H12" i="1"/>
  <c r="E10" i="6" s="1"/>
  <c r="E12" i="6" s="1"/>
  <c r="I32" i="1"/>
  <c r="F8" i="6" s="1"/>
  <c r="K19" i="1"/>
  <c r="AE11" i="4"/>
  <c r="AG11" i="4" s="1"/>
  <c r="AG9" i="4"/>
  <c r="I27" i="1"/>
  <c r="K16" i="1"/>
  <c r="AD29" i="1"/>
  <c r="FO23" i="1"/>
  <c r="FM33" i="1"/>
  <c r="FM35" i="1" s="1"/>
  <c r="FM36" i="1"/>
  <c r="FM38" i="1" s="1"/>
  <c r="CS36" i="1"/>
  <c r="CS38" i="1" s="1"/>
  <c r="CS33" i="1"/>
  <c r="CS35" i="1" s="1"/>
  <c r="DA23" i="1"/>
  <c r="CX36" i="1"/>
  <c r="CX38" i="1" s="1"/>
  <c r="CX33" i="1"/>
  <c r="CX35" i="1" s="1"/>
  <c r="BV36" i="1"/>
  <c r="BV38" i="1" s="1"/>
  <c r="BV33" i="1"/>
  <c r="BV35" i="1" s="1"/>
  <c r="AE29" i="1"/>
  <c r="BQ36" i="1"/>
  <c r="BQ38" i="1" s="1"/>
  <c r="BQ33" i="1"/>
  <c r="BQ35" i="1" s="1"/>
  <c r="DD36" i="1"/>
  <c r="DD38" i="1" s="1"/>
  <c r="DD33" i="1"/>
  <c r="DD35" i="1" s="1"/>
  <c r="AU16" i="3"/>
  <c r="CP23" i="1"/>
  <c r="CM36" i="1"/>
  <c r="CM38" i="1" s="1"/>
  <c r="CM33" i="1"/>
  <c r="CM35" i="1" s="1"/>
  <c r="AB16" i="1"/>
  <c r="CU23" i="1"/>
  <c r="AX11" i="4"/>
  <c r="BW21" i="1"/>
  <c r="BW23" i="1" s="1"/>
  <c r="BY18" i="1"/>
  <c r="BA14" i="4"/>
  <c r="BA11" i="4"/>
  <c r="BC11" i="4" s="1"/>
  <c r="BC9" i="4"/>
  <c r="Z18" i="1"/>
  <c r="DF23" i="1"/>
  <c r="AE18" i="1"/>
  <c r="AG12" i="1"/>
  <c r="CH23" i="1"/>
  <c r="CJ21" i="1"/>
  <c r="AG16" i="1"/>
  <c r="AZ16" i="3"/>
  <c r="AZ18" i="3"/>
  <c r="AD18" i="3" s="1"/>
  <c r="H18" i="3" s="1"/>
  <c r="Y18" i="1"/>
  <c r="Y21" i="1" s="1"/>
  <c r="CC23" i="1"/>
  <c r="BR21" i="1"/>
  <c r="BT21" i="1" s="1"/>
  <c r="I28" i="1" l="1"/>
  <c r="F10" i="6"/>
  <c r="F12" i="6" s="1"/>
  <c r="I17" i="5"/>
  <c r="K14" i="5"/>
  <c r="AD36" i="1"/>
  <c r="AD38" i="1" s="1"/>
  <c r="H18" i="1"/>
  <c r="H21" i="1" s="1"/>
  <c r="H23" i="1" s="1"/>
  <c r="H33" i="1" s="1"/>
  <c r="H35" i="1" s="1"/>
  <c r="E16" i="6" s="1"/>
  <c r="H28" i="1"/>
  <c r="H29" i="1" s="1"/>
  <c r="E13" i="6" s="1"/>
  <c r="AD16" i="3"/>
  <c r="F12" i="1"/>
  <c r="D10" i="6" s="1"/>
  <c r="D12" i="6" s="1"/>
  <c r="D28" i="1"/>
  <c r="D29" i="1" s="1"/>
  <c r="D13" i="6" s="1"/>
  <c r="T36" i="1"/>
  <c r="T38" i="1" s="1"/>
  <c r="T33" i="1"/>
  <c r="T35" i="1" s="1"/>
  <c r="I29" i="1"/>
  <c r="F13" i="6" s="1"/>
  <c r="D21" i="1"/>
  <c r="F18" i="1"/>
  <c r="K18" i="1"/>
  <c r="I21" i="1"/>
  <c r="C16" i="3"/>
  <c r="C36" i="1"/>
  <c r="C38" i="1" s="1"/>
  <c r="C33" i="1"/>
  <c r="C35" i="1" s="1"/>
  <c r="C16" i="6" s="1"/>
  <c r="CE23" i="1"/>
  <c r="CC36" i="1"/>
  <c r="CC38" i="1" s="1"/>
  <c r="CC33" i="1"/>
  <c r="CC35" i="1" s="1"/>
  <c r="CJ23" i="1"/>
  <c r="CH36" i="1"/>
  <c r="CH38" i="1" s="1"/>
  <c r="CH33" i="1"/>
  <c r="CH35" i="1" s="1"/>
  <c r="BW36" i="1"/>
  <c r="BW38" i="1" s="1"/>
  <c r="BW33" i="1"/>
  <c r="BW35" i="1" s="1"/>
  <c r="Z21" i="1"/>
  <c r="AB18" i="1"/>
  <c r="AE21" i="1"/>
  <c r="AG18" i="1"/>
  <c r="BY21" i="1"/>
  <c r="BR23" i="1"/>
  <c r="Y23" i="1"/>
  <c r="I19" i="5" l="1"/>
  <c r="K19" i="5" s="1"/>
  <c r="K17" i="5"/>
  <c r="H36" i="1"/>
  <c r="H38" i="1" s="1"/>
  <c r="H16" i="3"/>
  <c r="D23" i="1"/>
  <c r="F21" i="1"/>
  <c r="K21" i="1"/>
  <c r="I23" i="1"/>
  <c r="Y16" i="3"/>
  <c r="Y36" i="1"/>
  <c r="Y38" i="1" s="1"/>
  <c r="Y33" i="1"/>
  <c r="Y35" i="1" s="1"/>
  <c r="BR36" i="1"/>
  <c r="BR38" i="1" s="1"/>
  <c r="BR33" i="1"/>
  <c r="BR35" i="1" s="1"/>
  <c r="AE23" i="1"/>
  <c r="AG21" i="1"/>
  <c r="AV18" i="3"/>
  <c r="BT23" i="1"/>
  <c r="BY23" i="1"/>
  <c r="BA18" i="3"/>
  <c r="BA16" i="3"/>
  <c r="BC16" i="3" s="1"/>
  <c r="AB21" i="1"/>
  <c r="Z23" i="1"/>
  <c r="AV16" i="3"/>
  <c r="AX16" i="3" s="1"/>
  <c r="AX18" i="3" l="1"/>
  <c r="Z18" i="3"/>
  <c r="D16" i="3"/>
  <c r="F16" i="3" s="1"/>
  <c r="D36" i="1"/>
  <c r="D38" i="1" s="1"/>
  <c r="D33" i="1"/>
  <c r="D35" i="1" s="1"/>
  <c r="D16" i="6" s="1"/>
  <c r="F23" i="1"/>
  <c r="BC18" i="3"/>
  <c r="AE18" i="3"/>
  <c r="I36" i="1"/>
  <c r="I38" i="1" s="1"/>
  <c r="I16" i="3"/>
  <c r="K16" i="3" s="1"/>
  <c r="I33" i="1"/>
  <c r="I35" i="1" s="1"/>
  <c r="F16" i="6" s="1"/>
  <c r="K23" i="1"/>
  <c r="Z36" i="1"/>
  <c r="Z38" i="1" s="1"/>
  <c r="Z33" i="1"/>
  <c r="Z35" i="1" s="1"/>
  <c r="AE36" i="1"/>
  <c r="AE38" i="1" s="1"/>
  <c r="AE33" i="1"/>
  <c r="AE35" i="1" s="1"/>
  <c r="Z16" i="3"/>
  <c r="AB16" i="3" s="1"/>
  <c r="AB23" i="1"/>
  <c r="AE16" i="3"/>
  <c r="AG16" i="3" s="1"/>
  <c r="AG23" i="1"/>
  <c r="AG18" i="3" l="1"/>
  <c r="I18" i="3"/>
  <c r="K18" i="3" s="1"/>
  <c r="AB18" i="3"/>
  <c r="D18" i="3"/>
  <c r="F18" i="3" s="1"/>
  <c r="C13" i="4"/>
  <c r="C14" i="4" s="1"/>
  <c r="AU13" i="4"/>
  <c r="BC13" i="4" s="1"/>
  <c r="K14" i="4" l="1"/>
  <c r="F14" i="4"/>
  <c r="AU14" i="4"/>
  <c r="AX13" i="4"/>
  <c r="K13" i="4"/>
  <c r="AX14" i="4" l="1"/>
  <c r="BC14" i="4"/>
  <c r="H13" i="4" l="1"/>
  <c r="H14" i="4" s="1"/>
  <c r="AZ13" i="4"/>
  <c r="AZ14" i="4" s="1"/>
</calcChain>
</file>

<file path=xl/sharedStrings.xml><?xml version="1.0" encoding="utf-8"?>
<sst xmlns="http://schemas.openxmlformats.org/spreadsheetml/2006/main" count="1320" uniqueCount="170">
  <si>
    <t>TOTAL SHUSA</t>
  </si>
  <si>
    <t>SCUSA</t>
  </si>
  <si>
    <t>2015E</t>
  </si>
  <si>
    <t>2016E</t>
  </si>
  <si>
    <t>Growth 16/15</t>
  </si>
  <si>
    <t>2017E</t>
  </si>
  <si>
    <t>2018E</t>
  </si>
  <si>
    <t>CAGR 18/15</t>
  </si>
  <si>
    <t>NII</t>
  </si>
  <si>
    <t>Fee &amp; Comm</t>
  </si>
  <si>
    <t>Other Incom</t>
  </si>
  <si>
    <t>Total Income</t>
  </si>
  <si>
    <t>Personal Expenses</t>
  </si>
  <si>
    <t>Other Expenses</t>
  </si>
  <si>
    <t>Total Expenses</t>
  </si>
  <si>
    <t>Pre-Prov Profit</t>
  </si>
  <si>
    <t>Provisions</t>
  </si>
  <si>
    <t>Other results</t>
  </si>
  <si>
    <t>PBT</t>
  </si>
  <si>
    <t>Taxes</t>
  </si>
  <si>
    <t>Net Profit</t>
  </si>
  <si>
    <t>C/I</t>
  </si>
  <si>
    <t>Cost of Risk (CoR)</t>
  </si>
  <si>
    <t>RoRWA</t>
  </si>
  <si>
    <t>ROTE</t>
  </si>
  <si>
    <t>Net Provisions</t>
  </si>
  <si>
    <t>AVG Loans</t>
  </si>
  <si>
    <t>RWA</t>
  </si>
  <si>
    <t>Tangible Equity</t>
  </si>
  <si>
    <t>Costes explotacion</t>
  </si>
  <si>
    <t>Margen Bruto</t>
  </si>
  <si>
    <t>IFRS</t>
  </si>
  <si>
    <t>MM, US $</t>
  </si>
  <si>
    <t>SHUSA ex SCUSA</t>
  </si>
  <si>
    <t>HOLDCO</t>
  </si>
  <si>
    <t>SBNA</t>
  </si>
  <si>
    <t>Retail and Commercial Banking</t>
  </si>
  <si>
    <t>Retail and Commercial Banking - Mass Affluent</t>
  </si>
  <si>
    <t>Retail and Commercial Banking - Corporate &amp; SME's</t>
  </si>
  <si>
    <t>Institutional Public Banking</t>
  </si>
  <si>
    <t>Consumer Finance</t>
  </si>
  <si>
    <t>Total Corporate</t>
  </si>
  <si>
    <t>Total Gross Loans</t>
  </si>
  <si>
    <t>Loan-loss provisions</t>
  </si>
  <si>
    <t>NPL ratio</t>
  </si>
  <si>
    <t>%</t>
  </si>
  <si>
    <t>Coverage ratio</t>
  </si>
  <si>
    <t>Market Share</t>
  </si>
  <si>
    <t>RWAs</t>
  </si>
  <si>
    <t>RWAs / Loans</t>
  </si>
  <si>
    <t>Total Net loans</t>
  </si>
  <si>
    <t>NPLs</t>
  </si>
  <si>
    <t>Loans</t>
  </si>
  <si>
    <t>Total Deposits</t>
  </si>
  <si>
    <t>Total Investment Funds</t>
  </si>
  <si>
    <t>Total Client Resources</t>
  </si>
  <si>
    <t>Deposits</t>
  </si>
  <si>
    <t>LTD</t>
  </si>
  <si>
    <t>LCR</t>
  </si>
  <si>
    <t>NSFR</t>
  </si>
  <si>
    <t>Total Assets</t>
  </si>
  <si>
    <t>Total Loans</t>
  </si>
  <si>
    <t>-Credit Risk</t>
  </si>
  <si>
    <t>-Market Risk</t>
  </si>
  <si>
    <t>-Operational Risk</t>
  </si>
  <si>
    <t>Dividend Pay-Out (%)</t>
  </si>
  <si>
    <t xml:space="preserve">CET 1 Capital (FL) </t>
  </si>
  <si>
    <t>CET 1 Ratio (FL)</t>
  </si>
  <si>
    <t>Total Net Loans</t>
  </si>
  <si>
    <t>Loan to Deposit ratio</t>
  </si>
  <si>
    <t>Medium and Long Term  Funds</t>
  </si>
  <si>
    <t>Loan to deposit and ML term funds ratio</t>
  </si>
  <si>
    <t>Check - Link to LDN</t>
  </si>
  <si>
    <t>Net Profit Check</t>
  </si>
  <si>
    <t xml:space="preserve">GBM </t>
  </si>
  <si>
    <t>Other Mortgages (Other)</t>
  </si>
  <si>
    <t>Other Consumer Loans</t>
  </si>
  <si>
    <t>Credit Cards</t>
  </si>
  <si>
    <t>Mass Affluent Loans</t>
  </si>
  <si>
    <t>Corporate Loans</t>
  </si>
  <si>
    <t>Check</t>
  </si>
  <si>
    <t>Multifamily Loans</t>
  </si>
  <si>
    <t>Other Clients Loans</t>
  </si>
  <si>
    <t xml:space="preserve">Total Retail </t>
  </si>
  <si>
    <t>Total Gross Loans *</t>
  </si>
  <si>
    <t>Current Accounts</t>
  </si>
  <si>
    <t>Savings Accounts</t>
  </si>
  <si>
    <t>Ordinary Time/Term Term Deposits with Customers</t>
  </si>
  <si>
    <t>Trading Customers' Repurchase Agreements</t>
  </si>
  <si>
    <t>Total Deposits *</t>
  </si>
  <si>
    <t>* Includes Total SBNA Customer Deposits</t>
  </si>
  <si>
    <t>Total Customer Deposits</t>
  </si>
  <si>
    <t>* Includes Customer and Non customer deposits and Repurchase agreements</t>
  </si>
  <si>
    <t>ALLL</t>
  </si>
  <si>
    <t>* Includes SBNA ALCO and POOL</t>
  </si>
  <si>
    <t>SBNA Corporate Center</t>
  </si>
  <si>
    <t>SBNA Corporate Center - Financial activities *</t>
  </si>
  <si>
    <t>SBNA Corporate Center - Corporate activities</t>
  </si>
  <si>
    <t>HoldCo Corporate Center - Financial activities *</t>
  </si>
  <si>
    <t>HoldCo Corporate Center - Corporate activities</t>
  </si>
  <si>
    <t>Other Income</t>
  </si>
  <si>
    <t>* Includes HoldCo ALCO and POOL; Actuals calculated as proxy</t>
  </si>
  <si>
    <t>N/A</t>
  </si>
  <si>
    <t>Check AVG Loans</t>
  </si>
  <si>
    <t>** Retail includes Mass Affluent</t>
  </si>
  <si>
    <t>Total Loans *</t>
  </si>
  <si>
    <t>* Includes Finance Instruments issued</t>
  </si>
  <si>
    <t>Medium and Long Term  Funds *</t>
  </si>
  <si>
    <t>* Includes wholesale funding long term</t>
  </si>
  <si>
    <t>Market Share *</t>
  </si>
  <si>
    <t>* In Footprint market share includes MA, NY, PA, NJ, RI, CT, NH, DW</t>
  </si>
  <si>
    <t>HoldCo</t>
  </si>
  <si>
    <t>Check RWA</t>
  </si>
  <si>
    <t>AVG Loans *</t>
  </si>
  <si>
    <t>* Excluding EOP HoldCo Loans</t>
  </si>
  <si>
    <t>* HoldCo AVG loans assumes EOP balance</t>
  </si>
  <si>
    <t>*** Total Corporate includes all SBNA except for Retail</t>
  </si>
  <si>
    <t>Other Clients Credits</t>
  </si>
  <si>
    <t>Doubtulf Customer Loans</t>
  </si>
  <si>
    <t xml:space="preserve">Total Gross Loans </t>
  </si>
  <si>
    <t>RWAs *</t>
  </si>
  <si>
    <t>* RWA calculated based on Basel II</t>
  </si>
  <si>
    <t>2014A</t>
  </si>
  <si>
    <t>Growth 15/14</t>
  </si>
  <si>
    <t>GDP growth</t>
  </si>
  <si>
    <t>Loan growth</t>
  </si>
  <si>
    <t>RWA growth</t>
  </si>
  <si>
    <t>Provisions growth</t>
  </si>
  <si>
    <t>Revenue growth</t>
  </si>
  <si>
    <t>Cost growth</t>
  </si>
  <si>
    <t>Jaws</t>
  </si>
  <si>
    <t>SHUSA</t>
  </si>
  <si>
    <t>Loan Market Share</t>
  </si>
  <si>
    <t>SHUSA with transition provisions</t>
  </si>
  <si>
    <t>Amounts in millions</t>
  </si>
  <si>
    <t>Capital Ratios</t>
  </si>
  <si>
    <t>Common equity tier 1 capital ratio</t>
  </si>
  <si>
    <t>Tier 1 capital ratio</t>
  </si>
  <si>
    <t>Total capital ratio</t>
  </si>
  <si>
    <t>Tier 1 leverage ratio</t>
  </si>
  <si>
    <t>Tangible common equity ratio</t>
  </si>
  <si>
    <t>Reg cap and balance sheet</t>
  </si>
  <si>
    <t>Tangible common equity</t>
  </si>
  <si>
    <t>Regulatory adjustments</t>
  </si>
  <si>
    <t>Common equity tier 1 capital</t>
  </si>
  <si>
    <t>Additional tier 1 capital</t>
  </si>
  <si>
    <t>Tier 1 capital</t>
  </si>
  <si>
    <t>Tier 2 capital</t>
  </si>
  <si>
    <t>Total capital</t>
  </si>
  <si>
    <t>Total assets</t>
  </si>
  <si>
    <t>Tangible assets</t>
  </si>
  <si>
    <t>Risk-weighted assets</t>
  </si>
  <si>
    <t>Effective risk-weight</t>
  </si>
  <si>
    <t>Adjusted average assets</t>
  </si>
  <si>
    <t>Critical inputs</t>
  </si>
  <si>
    <t>Net income</t>
  </si>
  <si>
    <t>Aggregate disallowed tax assets</t>
  </si>
  <si>
    <t>Common issuance</t>
  </si>
  <si>
    <t>Preferred issuance</t>
  </si>
  <si>
    <t>Common Dividends</t>
  </si>
  <si>
    <t>SCUSA dividends</t>
  </si>
  <si>
    <t>Additional bank sub debt issue</t>
  </si>
  <si>
    <t>Additional parent sub debt issue</t>
  </si>
  <si>
    <t>SHUSA Full implementation</t>
  </si>
  <si>
    <t>SBNA with transition benefits</t>
  </si>
  <si>
    <t>ROE</t>
  </si>
  <si>
    <t>Asset growth</t>
  </si>
  <si>
    <t>Tangible</t>
  </si>
  <si>
    <t>Risk-weighted</t>
  </si>
  <si>
    <t>SBNA w/ full implementation of Basel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</si>
</sst>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m/d/yy;@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Arial"/>
      <family val="2"/>
    </font>
    <font>
      <b/>
      <sz val="12"/>
      <color rgb="FFFFFFFF"/>
      <name val="Calibri"/>
      <family val="2"/>
    </font>
    <font>
      <b/>
      <sz val="10"/>
      <color rgb="FF000000"/>
      <name val="Calibri"/>
      <family val="2"/>
    </font>
    <font>
      <sz val="18"/>
      <name val="Arial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i/>
      <sz val="10"/>
      <color rgb="FF000000"/>
      <name val="Calibri"/>
      <family val="2"/>
    </font>
    <font>
      <b/>
      <i/>
      <sz val="10"/>
      <color rgb="FF000000"/>
      <name val="Calibri"/>
      <family val="2"/>
    </font>
    <font>
      <b/>
      <sz val="14"/>
      <color theme="0"/>
      <name val="Calibri"/>
      <family val="2"/>
      <scheme val="minor"/>
    </font>
    <font>
      <sz val="12"/>
      <color rgb="FFFFFFFF"/>
      <name val="Calibri"/>
      <family val="2"/>
    </font>
    <font>
      <b/>
      <sz val="14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name val="Arial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2"/>
      <name val="Arial"/>
      <family val="2"/>
    </font>
    <font>
      <b/>
      <sz val="11"/>
      <color rgb="FF000000"/>
      <name val="Calibri"/>
      <family val="2"/>
    </font>
    <font>
      <b/>
      <sz val="12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b/>
      <i/>
      <sz val="11"/>
      <color rgb="FFFFFFFF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rgb="FFFF0000"/>
      <name val="Arial Narrow"/>
      <family val="2"/>
    </font>
    <font>
      <sz val="10"/>
      <color rgb="FF0000FF"/>
      <name val="Arial Narrow"/>
      <family val="2"/>
    </font>
    <font>
      <i/>
      <sz val="10"/>
      <color theme="9" tint="-0.499984740745262"/>
      <name val="Arial Narrow"/>
      <family val="2"/>
    </font>
    <font>
      <i/>
      <sz val="10"/>
      <color rgb="FF0000FF"/>
      <name val="Arial Narrow"/>
      <family val="2"/>
    </font>
    <font>
      <sz val="10"/>
      <color theme="5" tint="-0.499984740745262"/>
      <name val="Arial Narrow"/>
      <family val="2"/>
    </font>
    <font>
      <sz val="10"/>
      <name val="Arial Narrow"/>
      <family val="2"/>
    </font>
    <font>
      <sz val="10"/>
      <color theme="6" tint="-0.499984740745262"/>
      <name val="Arial Narrow"/>
      <family val="2"/>
    </font>
    <font>
      <sz val="18"/>
      <name val="Arial"/>
    </font>
    <font>
      <b/>
      <sz val="13"/>
      <color rgb="FFFFFFFF"/>
      <name val="Calibri"/>
    </font>
    <font>
      <sz val="13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FFFFFF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rgb="FFFFFFFF"/>
      </top>
      <bottom/>
      <diagonal/>
    </border>
    <border>
      <left/>
      <right/>
      <top/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/>
      <right style="thick">
        <color rgb="FFFFFFFF"/>
      </right>
      <top/>
      <bottom/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 style="hair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hair">
        <color theme="1" tint="0.499984740745262"/>
      </right>
      <top/>
      <bottom/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hair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31" fillId="0" borderId="0"/>
    <xf numFmtId="166" fontId="32" fillId="10" borderId="0">
      <alignment horizontal="center"/>
    </xf>
    <xf numFmtId="9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1" fontId="32" fillId="0" borderId="20"/>
    <xf numFmtId="0" fontId="32" fillId="0" borderId="21" applyNumberFormat="0" applyFill="0" applyAlignment="0" applyProtection="0"/>
    <xf numFmtId="41" fontId="34" fillId="11" borderId="22" applyNumberFormat="0" applyAlignment="0"/>
    <xf numFmtId="41" fontId="35" fillId="11" borderId="22" applyNumberFormat="0"/>
    <xf numFmtId="41" fontId="36" fillId="11" borderId="22" applyNumberFormat="0"/>
    <xf numFmtId="41" fontId="37" fillId="9" borderId="23"/>
    <xf numFmtId="164" fontId="38" fillId="12" borderId="22"/>
    <xf numFmtId="41" fontId="39" fillId="9" borderId="23"/>
    <xf numFmtId="0" fontId="33" fillId="0" borderId="0" applyNumberFormat="0" applyFill="0" applyBorder="0" applyAlignment="0" applyProtection="0"/>
  </cellStyleXfs>
  <cellXfs count="306">
    <xf numFmtId="0" fontId="0" fillId="0" borderId="0" xfId="0"/>
    <xf numFmtId="0" fontId="4" fillId="2" borderId="1" xfId="0" applyFont="1" applyFill="1" applyBorder="1" applyAlignment="1">
      <alignment horizontal="center" vertical="center" wrapText="1" readingOrder="1"/>
    </xf>
    <xf numFmtId="0" fontId="3" fillId="0" borderId="2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vertical="center" wrapText="1"/>
    </xf>
    <xf numFmtId="0" fontId="2" fillId="0" borderId="0" xfId="0" applyFont="1"/>
    <xf numFmtId="0" fontId="2" fillId="0" borderId="5" xfId="0" applyFont="1" applyBorder="1"/>
    <xf numFmtId="0" fontId="0" fillId="0" borderId="5" xfId="0" applyBorder="1"/>
    <xf numFmtId="0" fontId="7" fillId="2" borderId="1" xfId="0" applyFont="1" applyFill="1" applyBorder="1" applyAlignment="1">
      <alignment horizontal="left" vertical="center" wrapText="1" readingOrder="1"/>
    </xf>
    <xf numFmtId="0" fontId="8" fillId="0" borderId="6" xfId="0" applyFont="1" applyBorder="1" applyAlignment="1">
      <alignment horizontal="left" vertical="center" wrapText="1" readingOrder="1"/>
    </xf>
    <xf numFmtId="0" fontId="8" fillId="0" borderId="7" xfId="0" applyFont="1" applyBorder="1" applyAlignment="1">
      <alignment horizontal="left" vertical="center" wrapText="1" readingOrder="1"/>
    </xf>
    <xf numFmtId="0" fontId="8" fillId="0" borderId="8" xfId="0" applyFont="1" applyBorder="1" applyAlignment="1">
      <alignment horizontal="left" vertical="center" wrapText="1" readingOrder="1"/>
    </xf>
    <xf numFmtId="0" fontId="6" fillId="0" borderId="6" xfId="0" applyFont="1" applyBorder="1" applyAlignment="1">
      <alignment wrapText="1"/>
    </xf>
    <xf numFmtId="0" fontId="9" fillId="3" borderId="0" xfId="0" applyFont="1" applyFill="1" applyAlignment="1">
      <alignment horizontal="left" vertical="center" wrapText="1" readingOrder="1"/>
    </xf>
    <xf numFmtId="0" fontId="10" fillId="3" borderId="0" xfId="0" applyFont="1" applyFill="1" applyAlignment="1">
      <alignment horizontal="left" vertical="center" wrapText="1" indent="2" readingOrder="1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 vertical="center" wrapText="1" readingOrder="1"/>
    </xf>
    <xf numFmtId="0" fontId="6" fillId="0" borderId="9" xfId="0" applyFont="1" applyBorder="1" applyAlignment="1">
      <alignment vertical="center" wrapText="1"/>
    </xf>
    <xf numFmtId="0" fontId="0" fillId="0" borderId="5" xfId="0" applyBorder="1" applyAlignment="1">
      <alignment horizontal="center"/>
    </xf>
    <xf numFmtId="9" fontId="0" fillId="0" borderId="0" xfId="1" applyFont="1"/>
    <xf numFmtId="0" fontId="0" fillId="0" borderId="0" xfId="0" applyAlignment="1">
      <alignment horizontal="center" vertical="center"/>
    </xf>
    <xf numFmtId="0" fontId="14" fillId="0" borderId="8" xfId="0" applyFont="1" applyBorder="1" applyAlignment="1">
      <alignment horizontal="left" vertical="center" wrapText="1" readingOrder="1"/>
    </xf>
    <xf numFmtId="0" fontId="7" fillId="2" borderId="8" xfId="0" applyFont="1" applyFill="1" applyBorder="1" applyAlignment="1">
      <alignment horizontal="left" vertical="center" wrapText="1" readingOrder="1"/>
    </xf>
    <xf numFmtId="0" fontId="15" fillId="0" borderId="10" xfId="0" applyFont="1" applyBorder="1" applyAlignment="1">
      <alignment horizontal="center" vertical="center" wrapText="1" readingOrder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wrapText="1"/>
    </xf>
    <xf numFmtId="0" fontId="0" fillId="0" borderId="0" xfId="0" applyFont="1"/>
    <xf numFmtId="0" fontId="16" fillId="0" borderId="10" xfId="0" applyFont="1" applyBorder="1" applyAlignment="1">
      <alignment wrapText="1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wrapText="1"/>
    </xf>
    <xf numFmtId="0" fontId="16" fillId="0" borderId="11" xfId="0" applyFont="1" applyBorder="1" applyAlignment="1">
      <alignment horizontal="center" wrapText="1"/>
    </xf>
    <xf numFmtId="0" fontId="16" fillId="0" borderId="7" xfId="0" applyFont="1" applyBorder="1" applyAlignment="1">
      <alignment horizontal="center" wrapText="1"/>
    </xf>
    <xf numFmtId="0" fontId="17" fillId="2" borderId="1" xfId="0" applyFont="1" applyFill="1" applyBorder="1" applyAlignment="1">
      <alignment horizontal="left" vertical="center" wrapText="1" readingOrder="1"/>
    </xf>
    <xf numFmtId="0" fontId="17" fillId="2" borderId="1" xfId="0" applyFont="1" applyFill="1" applyBorder="1" applyAlignment="1">
      <alignment horizontal="center" vertical="center" wrapText="1" readingOrder="1"/>
    </xf>
    <xf numFmtId="0" fontId="16" fillId="0" borderId="9" xfId="0" applyFont="1" applyBorder="1" applyAlignment="1">
      <alignment vertical="center" wrapText="1"/>
    </xf>
    <xf numFmtId="0" fontId="16" fillId="0" borderId="13" xfId="0" applyFont="1" applyBorder="1" applyAlignment="1">
      <alignment wrapText="1"/>
    </xf>
    <xf numFmtId="0" fontId="16" fillId="0" borderId="13" xfId="0" applyFont="1" applyBorder="1" applyAlignment="1">
      <alignment horizontal="center" wrapText="1"/>
    </xf>
    <xf numFmtId="0" fontId="16" fillId="0" borderId="6" xfId="0" applyFont="1" applyBorder="1" applyAlignment="1">
      <alignment horizontal="center" wrapText="1"/>
    </xf>
    <xf numFmtId="9" fontId="15" fillId="0" borderId="10" xfId="1" applyFont="1" applyBorder="1" applyAlignment="1">
      <alignment horizontal="center" vertical="center" wrapText="1" readingOrder="1"/>
    </xf>
    <xf numFmtId="0" fontId="15" fillId="0" borderId="10" xfId="0" applyFont="1" applyBorder="1" applyAlignment="1">
      <alignment horizontal="left" vertical="center" wrapText="1" indent="2" readingOrder="1"/>
    </xf>
    <xf numFmtId="0" fontId="15" fillId="0" borderId="10" xfId="0" applyFont="1" applyBorder="1" applyAlignment="1">
      <alignment horizontal="left" wrapText="1" indent="2" readingOrder="1"/>
    </xf>
    <xf numFmtId="0" fontId="16" fillId="0" borderId="0" xfId="0" applyFont="1" applyBorder="1" applyAlignment="1">
      <alignment vertical="center" wrapText="1"/>
    </xf>
    <xf numFmtId="0" fontId="9" fillId="6" borderId="14" xfId="0" applyFont="1" applyFill="1" applyBorder="1" applyAlignment="1">
      <alignment horizontal="left" vertical="center" wrapText="1" readingOrder="1"/>
    </xf>
    <xf numFmtId="0" fontId="9" fillId="6" borderId="0" xfId="0" applyFont="1" applyFill="1" applyBorder="1" applyAlignment="1">
      <alignment horizontal="left" vertical="center" wrapText="1" readingOrder="1"/>
    </xf>
    <xf numFmtId="0" fontId="18" fillId="0" borderId="0" xfId="0" applyFont="1" applyAlignment="1">
      <alignment horizontal="left" vertical="center" wrapText="1" readingOrder="1"/>
    </xf>
    <xf numFmtId="0" fontId="18" fillId="0" borderId="7" xfId="0" applyFont="1" applyBorder="1" applyAlignment="1">
      <alignment horizontal="left" vertical="center" wrapText="1" readingOrder="1"/>
    </xf>
    <xf numFmtId="0" fontId="19" fillId="0" borderId="11" xfId="0" applyFont="1" applyBorder="1" applyAlignment="1">
      <alignment wrapText="1"/>
    </xf>
    <xf numFmtId="0" fontId="19" fillId="0" borderId="8" xfId="0" applyFont="1" applyBorder="1" applyAlignment="1">
      <alignment wrapText="1"/>
    </xf>
    <xf numFmtId="0" fontId="18" fillId="0" borderId="6" xfId="0" applyFont="1" applyBorder="1" applyAlignment="1">
      <alignment horizontal="left" vertical="center" wrapText="1" indent="2" readingOrder="1"/>
    </xf>
    <xf numFmtId="0" fontId="18" fillId="0" borderId="0" xfId="0" applyFont="1" applyAlignment="1">
      <alignment horizontal="left" vertical="center" wrapText="1" indent="2" readingOrder="1"/>
    </xf>
    <xf numFmtId="0" fontId="16" fillId="0" borderId="7" xfId="0" applyFont="1" applyBorder="1" applyAlignment="1">
      <alignment vertical="center" wrapText="1"/>
    </xf>
    <xf numFmtId="0" fontId="16" fillId="0" borderId="8" xfId="0" applyFont="1" applyBorder="1" applyAlignment="1">
      <alignment vertical="center" wrapText="1"/>
    </xf>
    <xf numFmtId="0" fontId="18" fillId="0" borderId="6" xfId="0" applyFont="1" applyBorder="1" applyAlignment="1">
      <alignment horizontal="left" vertical="center" wrapText="1" readingOrder="1"/>
    </xf>
    <xf numFmtId="0" fontId="20" fillId="0" borderId="0" xfId="0" applyFont="1" applyAlignment="1">
      <alignment horizontal="left" vertical="center" readingOrder="1"/>
    </xf>
    <xf numFmtId="0" fontId="21" fillId="2" borderId="0" xfId="0" applyFont="1" applyFill="1" applyAlignment="1">
      <alignment horizontal="left" vertical="center" readingOrder="1"/>
    </xf>
    <xf numFmtId="164" fontId="0" fillId="0" borderId="0" xfId="2" applyNumberFormat="1" applyFont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4" fontId="7" fillId="2" borderId="1" xfId="2" applyNumberFormat="1" applyFont="1" applyFill="1" applyBorder="1" applyAlignment="1">
      <alignment horizontal="center" vertical="center" wrapText="1" readingOrder="1"/>
    </xf>
    <xf numFmtId="164" fontId="0" fillId="0" borderId="0" xfId="2" applyNumberFormat="1" applyFont="1"/>
    <xf numFmtId="9" fontId="12" fillId="5" borderId="1" xfId="1" applyFont="1" applyFill="1" applyBorder="1" applyAlignment="1">
      <alignment horizontal="center" vertical="center" wrapText="1" readingOrder="1"/>
    </xf>
    <xf numFmtId="9" fontId="0" fillId="0" borderId="0" xfId="1" applyFont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9" fontId="0" fillId="0" borderId="0" xfId="1" applyFont="1" applyAlignment="1">
      <alignment horizontal="center"/>
    </xf>
    <xf numFmtId="9" fontId="0" fillId="0" borderId="5" xfId="1" applyFont="1" applyBorder="1" applyAlignment="1">
      <alignment horizontal="center"/>
    </xf>
    <xf numFmtId="9" fontId="12" fillId="5" borderId="1" xfId="1" applyFont="1" applyFill="1" applyBorder="1" applyAlignment="1">
      <alignment horizontal="center" vertical="center" wrapText="1"/>
    </xf>
    <xf numFmtId="164" fontId="0" fillId="0" borderId="0" xfId="2" applyNumberFormat="1" applyFont="1" applyFill="1" applyAlignment="1">
      <alignment horizontal="center"/>
    </xf>
    <xf numFmtId="164" fontId="0" fillId="8" borderId="0" xfId="2" applyNumberFormat="1" applyFont="1" applyFill="1"/>
    <xf numFmtId="0" fontId="0" fillId="8" borderId="0" xfId="0" applyFill="1"/>
    <xf numFmtId="0" fontId="2" fillId="8" borderId="0" xfId="0" applyFont="1" applyFill="1"/>
    <xf numFmtId="164" fontId="2" fillId="0" borderId="5" xfId="2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3" fontId="0" fillId="0" borderId="0" xfId="0" applyNumberFormat="1"/>
    <xf numFmtId="0" fontId="22" fillId="8" borderId="0" xfId="0" applyFont="1" applyFill="1"/>
    <xf numFmtId="3" fontId="22" fillId="8" borderId="0" xfId="0" applyNumberFormat="1" applyFont="1" applyFill="1"/>
    <xf numFmtId="0" fontId="0" fillId="0" borderId="0" xfId="0" applyFill="1"/>
    <xf numFmtId="164" fontId="0" fillId="0" borderId="0" xfId="2" applyNumberFormat="1" applyFont="1" applyAlignment="1">
      <alignment vertical="center"/>
    </xf>
    <xf numFmtId="0" fontId="7" fillId="0" borderId="0" xfId="0" applyFont="1" applyFill="1" applyBorder="1" applyAlignment="1">
      <alignment horizontal="left" vertical="center" wrapText="1" readingOrder="1"/>
    </xf>
    <xf numFmtId="0" fontId="7" fillId="0" borderId="0" xfId="0" applyFont="1" applyFill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 readingOrder="1"/>
    </xf>
    <xf numFmtId="164" fontId="7" fillId="0" borderId="0" xfId="2" applyNumberFormat="1" applyFont="1" applyFill="1" applyBorder="1" applyAlignment="1">
      <alignment horizontal="center" vertical="center" wrapText="1" readingOrder="1"/>
    </xf>
    <xf numFmtId="9" fontId="12" fillId="0" borderId="0" xfId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left" vertical="center" readingOrder="1"/>
    </xf>
    <xf numFmtId="0" fontId="6" fillId="0" borderId="1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0" borderId="0" xfId="0" applyBorder="1"/>
    <xf numFmtId="0" fontId="25" fillId="0" borderId="0" xfId="0" applyFont="1" applyBorder="1" applyAlignment="1"/>
    <xf numFmtId="9" fontId="7" fillId="2" borderId="1" xfId="1" applyFont="1" applyFill="1" applyBorder="1" applyAlignment="1">
      <alignment horizontal="center" vertical="center" wrapText="1" readingOrder="1"/>
    </xf>
    <xf numFmtId="10" fontId="7" fillId="2" borderId="1" xfId="1" applyNumberFormat="1" applyFont="1" applyFill="1" applyBorder="1" applyAlignment="1">
      <alignment horizontal="center" vertical="center" wrapText="1" readingOrder="1"/>
    </xf>
    <xf numFmtId="9" fontId="0" fillId="0" borderId="0" xfId="0" applyNumberFormat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vertical="center"/>
    </xf>
    <xf numFmtId="0" fontId="0" fillId="0" borderId="0" xfId="0" applyFill="1" applyBorder="1"/>
    <xf numFmtId="9" fontId="7" fillId="2" borderId="15" xfId="1" applyFont="1" applyFill="1" applyBorder="1" applyAlignment="1">
      <alignment horizontal="center" vertical="center" wrapText="1" readingOrder="1"/>
    </xf>
    <xf numFmtId="9" fontId="0" fillId="0" borderId="0" xfId="1" applyNumberFormat="1" applyFont="1" applyAlignment="1">
      <alignment horizontal="center" vertical="center"/>
    </xf>
    <xf numFmtId="9" fontId="0" fillId="0" borderId="5" xfId="1" applyNumberFormat="1" applyFont="1" applyBorder="1" applyAlignment="1">
      <alignment horizontal="center" vertical="center"/>
    </xf>
    <xf numFmtId="9" fontId="16" fillId="0" borderId="0" xfId="1" applyFont="1" applyAlignment="1">
      <alignment vertical="center" wrapText="1"/>
    </xf>
    <xf numFmtId="9" fontId="16" fillId="0" borderId="0" xfId="1" applyFont="1" applyAlignment="1">
      <alignment wrapText="1"/>
    </xf>
    <xf numFmtId="0" fontId="5" fillId="0" borderId="16" xfId="0" applyFont="1" applyBorder="1" applyAlignment="1">
      <alignment horizontal="center" vertical="center" wrapText="1" readingOrder="1"/>
    </xf>
    <xf numFmtId="9" fontId="12" fillId="5" borderId="12" xfId="1" applyFont="1" applyFill="1" applyBorder="1" applyAlignment="1">
      <alignment horizontal="center" vertical="center" wrapText="1" readingOrder="1"/>
    </xf>
    <xf numFmtId="0" fontId="7" fillId="2" borderId="17" xfId="0" applyFont="1" applyFill="1" applyBorder="1" applyAlignment="1">
      <alignment horizontal="left" vertical="center" wrapText="1" readingOrder="1"/>
    </xf>
    <xf numFmtId="0" fontId="11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 readingOrder="1"/>
    </xf>
    <xf numFmtId="9" fontId="0" fillId="0" borderId="0" xfId="1" applyFont="1" applyFill="1" applyBorder="1" applyAlignment="1">
      <alignment horizontal="center" vertical="center"/>
    </xf>
    <xf numFmtId="9" fontId="12" fillId="0" borderId="0" xfId="1" applyFont="1" applyFill="1" applyBorder="1" applyAlignment="1">
      <alignment horizontal="center" vertical="center" wrapText="1" readingOrder="1"/>
    </xf>
    <xf numFmtId="0" fontId="7" fillId="2" borderId="15" xfId="0" applyFont="1" applyFill="1" applyBorder="1" applyAlignment="1">
      <alignment horizontal="left" vertical="center" wrapText="1" readingOrder="1"/>
    </xf>
    <xf numFmtId="164" fontId="7" fillId="2" borderId="15" xfId="2" applyNumberFormat="1" applyFont="1" applyFill="1" applyBorder="1" applyAlignment="1">
      <alignment horizontal="center" vertical="center" wrapText="1" readingOrder="1"/>
    </xf>
    <xf numFmtId="9" fontId="12" fillId="5" borderId="15" xfId="1" applyFont="1" applyFill="1" applyBorder="1" applyAlignment="1">
      <alignment horizontal="center" vertical="center" wrapText="1" readingOrder="1"/>
    </xf>
    <xf numFmtId="9" fontId="12" fillId="5" borderId="18" xfId="1" applyFont="1" applyFill="1" applyBorder="1" applyAlignment="1">
      <alignment horizontal="center" vertical="center" wrapText="1" readingOrder="1"/>
    </xf>
    <xf numFmtId="0" fontId="7" fillId="2" borderId="19" xfId="0" applyFont="1" applyFill="1" applyBorder="1" applyAlignment="1">
      <alignment horizontal="left" vertical="center" wrapText="1" readingOrder="1"/>
    </xf>
    <xf numFmtId="0" fontId="6" fillId="0" borderId="0" xfId="0" applyFont="1" applyFill="1" applyBorder="1" applyAlignment="1">
      <alignment wrapText="1"/>
    </xf>
    <xf numFmtId="9" fontId="12" fillId="5" borderId="12" xfId="1" applyFont="1" applyFill="1" applyBorder="1" applyAlignment="1">
      <alignment horizontal="center" vertical="center" wrapText="1"/>
    </xf>
    <xf numFmtId="9" fontId="0" fillId="9" borderId="0" xfId="1" applyFont="1" applyFill="1"/>
    <xf numFmtId="9" fontId="2" fillId="0" borderId="0" xfId="1" applyFont="1"/>
    <xf numFmtId="0" fontId="2" fillId="0" borderId="0" xfId="0" applyFont="1" applyFill="1" applyBorder="1"/>
    <xf numFmtId="9" fontId="2" fillId="9" borderId="0" xfId="1" applyFont="1" applyFill="1"/>
    <xf numFmtId="164" fontId="0" fillId="9" borderId="0" xfId="1" applyNumberFormat="1" applyFont="1" applyFill="1"/>
    <xf numFmtId="164" fontId="0" fillId="9" borderId="0" xfId="0" applyNumberFormat="1" applyFill="1"/>
    <xf numFmtId="0" fontId="9" fillId="9" borderId="0" xfId="0" applyFont="1" applyFill="1" applyAlignment="1">
      <alignment horizontal="right" vertical="center" wrapText="1" readingOrder="1"/>
    </xf>
    <xf numFmtId="164" fontId="0" fillId="9" borderId="0" xfId="2" applyNumberFormat="1" applyFont="1" applyFill="1"/>
    <xf numFmtId="164" fontId="0" fillId="0" borderId="0" xfId="0" applyNumberFormat="1"/>
    <xf numFmtId="164" fontId="0" fillId="8" borderId="0" xfId="0" applyNumberFormat="1" applyFill="1"/>
    <xf numFmtId="0" fontId="26" fillId="0" borderId="0" xfId="0" applyFont="1"/>
    <xf numFmtId="0" fontId="18" fillId="0" borderId="0" xfId="0" applyFont="1" applyFill="1" applyBorder="1" applyAlignment="1">
      <alignment horizontal="left" vertical="center" wrapText="1" readingOrder="1"/>
    </xf>
    <xf numFmtId="9" fontId="0" fillId="0" borderId="0" xfId="1" applyFont="1" applyFill="1"/>
    <xf numFmtId="0" fontId="27" fillId="2" borderId="1" xfId="0" applyFont="1" applyFill="1" applyBorder="1" applyAlignment="1">
      <alignment horizontal="right" vertical="center" wrapText="1" readingOrder="1"/>
    </xf>
    <xf numFmtId="164" fontId="17" fillId="2" borderId="1" xfId="0" applyNumberFormat="1" applyFont="1" applyFill="1" applyBorder="1" applyAlignment="1">
      <alignment horizontal="left" vertical="center" wrapText="1" readingOrder="1"/>
    </xf>
    <xf numFmtId="165" fontId="15" fillId="0" borderId="10" xfId="1" applyNumberFormat="1" applyFont="1" applyBorder="1" applyAlignment="1">
      <alignment horizontal="center" vertical="center" wrapText="1" readingOrder="1"/>
    </xf>
    <xf numFmtId="0" fontId="24" fillId="0" borderId="11" xfId="0" applyFont="1" applyBorder="1" applyAlignment="1">
      <alignment vertical="center"/>
    </xf>
    <xf numFmtId="0" fontId="0" fillId="9" borderId="0" xfId="0" applyFill="1"/>
    <xf numFmtId="164" fontId="28" fillId="9" borderId="0" xfId="1" applyNumberFormat="1" applyFont="1" applyFill="1"/>
    <xf numFmtId="0" fontId="28" fillId="0" borderId="0" xfId="0" applyFont="1"/>
    <xf numFmtId="164" fontId="28" fillId="9" borderId="0" xfId="0" applyNumberFormat="1" applyFont="1" applyFill="1"/>
    <xf numFmtId="9" fontId="29" fillId="9" borderId="0" xfId="1" applyFont="1" applyFill="1"/>
    <xf numFmtId="0" fontId="28" fillId="9" borderId="0" xfId="0" applyFont="1" applyFill="1"/>
    <xf numFmtId="0" fontId="9" fillId="6" borderId="0" xfId="0" applyFont="1" applyFill="1" applyAlignment="1">
      <alignment horizontal="left" vertical="center" wrapText="1" readingOrder="1"/>
    </xf>
    <xf numFmtId="164" fontId="9" fillId="6" borderId="0" xfId="0" applyNumberFormat="1" applyFont="1" applyFill="1" applyBorder="1" applyAlignment="1">
      <alignment horizontal="left" vertical="center" wrapText="1" readingOrder="1"/>
    </xf>
    <xf numFmtId="0" fontId="9" fillId="6" borderId="0" xfId="0" applyFont="1" applyFill="1" applyBorder="1" applyAlignment="1">
      <alignment horizontal="right" wrapText="1" readingOrder="1"/>
    </xf>
    <xf numFmtId="0" fontId="16" fillId="0" borderId="0" xfId="0" applyFont="1" applyBorder="1" applyAlignment="1">
      <alignment horizontal="right" wrapText="1" readingOrder="1"/>
    </xf>
    <xf numFmtId="0" fontId="9" fillId="6" borderId="0" xfId="0" applyFont="1" applyFill="1" applyBorder="1" applyAlignment="1">
      <alignment horizontal="right" vertical="center" wrapText="1" readingOrder="1"/>
    </xf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horizontal="right" wrapText="1"/>
    </xf>
    <xf numFmtId="164" fontId="9" fillId="6" borderId="0" xfId="0" applyNumberFormat="1" applyFont="1" applyFill="1" applyBorder="1" applyAlignment="1">
      <alignment horizontal="right" vertical="center" wrapText="1" readingOrder="1"/>
    </xf>
    <xf numFmtId="0" fontId="22" fillId="0" borderId="0" xfId="0" applyFont="1" applyFill="1"/>
    <xf numFmtId="3" fontId="22" fillId="0" borderId="0" xfId="0" applyNumberFormat="1" applyFont="1" applyFill="1"/>
    <xf numFmtId="164" fontId="0" fillId="0" borderId="0" xfId="0" applyNumberFormat="1" applyFill="1" applyBorder="1"/>
    <xf numFmtId="0" fontId="30" fillId="0" borderId="0" xfId="0" applyFont="1"/>
    <xf numFmtId="0" fontId="4" fillId="2" borderId="1" xfId="0" applyFont="1" applyFill="1" applyBorder="1" applyAlignment="1">
      <alignment horizontal="left" vertical="center" wrapText="1" readingOrder="1"/>
    </xf>
    <xf numFmtId="2" fontId="0" fillId="9" borderId="0" xfId="0" applyNumberFormat="1" applyFill="1"/>
    <xf numFmtId="2" fontId="0" fillId="0" borderId="0" xfId="0" applyNumberFormat="1"/>
    <xf numFmtId="164" fontId="17" fillId="2" borderId="1" xfId="2" applyNumberFormat="1" applyFont="1" applyFill="1" applyBorder="1" applyAlignment="1">
      <alignment horizontal="center" vertical="center" wrapText="1" readingOrder="1"/>
    </xf>
    <xf numFmtId="164" fontId="0" fillId="0" borderId="0" xfId="2" applyNumberFormat="1" applyFont="1" applyFill="1" applyAlignment="1">
      <alignment horizontal="center" vertical="center"/>
    </xf>
    <xf numFmtId="164" fontId="0" fillId="0" borderId="0" xfId="2" applyNumberFormat="1" applyFont="1" applyFill="1" applyAlignment="1">
      <alignment vertical="center"/>
    </xf>
    <xf numFmtId="0" fontId="4" fillId="2" borderId="8" xfId="0" applyFont="1" applyFill="1" applyBorder="1" applyAlignment="1">
      <alignment horizontal="left" vertical="center" wrapText="1" readingOrder="1"/>
    </xf>
    <xf numFmtId="9" fontId="0" fillId="0" borderId="0" xfId="1" applyFont="1" applyAlignment="1">
      <alignment horizontal="right" vertical="center"/>
    </xf>
    <xf numFmtId="9" fontId="0" fillId="0" borderId="5" xfId="1" applyFont="1" applyBorder="1" applyAlignment="1">
      <alignment horizontal="right" vertical="center"/>
    </xf>
    <xf numFmtId="9" fontId="12" fillId="5" borderId="1" xfId="1" applyFont="1" applyFill="1" applyBorder="1" applyAlignment="1">
      <alignment horizontal="right" vertical="center" wrapText="1"/>
    </xf>
    <xf numFmtId="9" fontId="12" fillId="5" borderId="15" xfId="1" applyFont="1" applyFill="1" applyBorder="1" applyAlignment="1">
      <alignment horizontal="right" vertical="center" wrapText="1"/>
    </xf>
    <xf numFmtId="9" fontId="0" fillId="0" borderId="0" xfId="1" applyNumberFormat="1" applyFont="1" applyAlignment="1">
      <alignment horizontal="right" vertical="center"/>
    </xf>
    <xf numFmtId="9" fontId="0" fillId="0" borderId="5" xfId="1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9" fontId="0" fillId="0" borderId="0" xfId="1" applyFont="1" applyAlignment="1">
      <alignment horizontal="right"/>
    </xf>
    <xf numFmtId="9" fontId="0" fillId="0" borderId="5" xfId="1" applyFont="1" applyBorder="1" applyAlignment="1">
      <alignment horizontal="right"/>
    </xf>
    <xf numFmtId="9" fontId="2" fillId="0" borderId="5" xfId="1" applyFont="1" applyBorder="1" applyAlignment="1">
      <alignment horizontal="center"/>
    </xf>
    <xf numFmtId="9" fontId="2" fillId="0" borderId="5" xfId="1" applyFont="1" applyBorder="1" applyAlignment="1">
      <alignment horizontal="center" vertical="center"/>
    </xf>
    <xf numFmtId="165" fontId="7" fillId="2" borderId="1" xfId="1" applyNumberFormat="1" applyFont="1" applyFill="1" applyBorder="1" applyAlignment="1">
      <alignment horizontal="center" vertical="center" wrapText="1" readingOrder="1"/>
    </xf>
    <xf numFmtId="165" fontId="0" fillId="0" borderId="0" xfId="1" applyNumberFormat="1" applyFont="1"/>
    <xf numFmtId="165" fontId="21" fillId="2" borderId="0" xfId="1" applyNumberFormat="1" applyFont="1" applyFill="1" applyAlignment="1">
      <alignment horizontal="left" vertical="center" readingOrder="1"/>
    </xf>
    <xf numFmtId="165" fontId="0" fillId="0" borderId="0" xfId="1" applyNumberFormat="1" applyFont="1" applyAlignment="1">
      <alignment horizontal="center"/>
    </xf>
    <xf numFmtId="43" fontId="0" fillId="0" borderId="0" xfId="0" applyNumberFormat="1"/>
    <xf numFmtId="10" fontId="42" fillId="0" borderId="26" xfId="1" applyNumberFormat="1" applyFont="1" applyFill="1" applyBorder="1" applyAlignment="1">
      <alignment horizontal="center" vertical="center" wrapText="1" readingOrder="1"/>
    </xf>
    <xf numFmtId="0" fontId="40" fillId="0" borderId="24" xfId="0" applyFont="1" applyBorder="1" applyAlignment="1">
      <alignment vertical="center" wrapText="1"/>
    </xf>
    <xf numFmtId="0" fontId="41" fillId="2" borderId="15" xfId="0" applyFont="1" applyFill="1" applyBorder="1" applyAlignment="1">
      <alignment horizontal="center" vertical="center" wrapText="1" readingOrder="1"/>
    </xf>
    <xf numFmtId="0" fontId="40" fillId="0" borderId="25" xfId="0" applyFont="1" applyBorder="1" applyAlignment="1">
      <alignment vertical="center" wrapText="1"/>
    </xf>
    <xf numFmtId="0" fontId="40" fillId="0" borderId="25" xfId="0" applyFont="1" applyBorder="1" applyAlignment="1">
      <alignment horizontal="center" vertical="center" wrapText="1"/>
    </xf>
    <xf numFmtId="0" fontId="42" fillId="0" borderId="26" xfId="0" applyFont="1" applyBorder="1" applyAlignment="1">
      <alignment horizontal="left" vertical="center" wrapText="1" readingOrder="1"/>
    </xf>
    <xf numFmtId="165" fontId="42" fillId="0" borderId="26" xfId="0" applyNumberFormat="1" applyFont="1" applyBorder="1" applyAlignment="1">
      <alignment horizontal="center" vertical="center" wrapText="1" readingOrder="1"/>
    </xf>
    <xf numFmtId="10" fontId="42" fillId="0" borderId="26" xfId="1" applyNumberFormat="1" applyFont="1" applyBorder="1" applyAlignment="1">
      <alignment horizontal="center" vertical="center" wrapText="1" readingOrder="1"/>
    </xf>
    <xf numFmtId="10" fontId="42" fillId="0" borderId="26" xfId="0" applyNumberFormat="1" applyFont="1" applyBorder="1" applyAlignment="1">
      <alignment horizontal="center" vertical="center" wrapText="1" readingOrder="1"/>
    </xf>
    <xf numFmtId="165" fontId="42" fillId="0" borderId="26" xfId="0" applyNumberFormat="1" applyFont="1" applyFill="1" applyBorder="1" applyAlignment="1">
      <alignment horizontal="center" vertical="center" wrapText="1" readingOrder="1"/>
    </xf>
    <xf numFmtId="9" fontId="42" fillId="0" borderId="26" xfId="0" applyNumberFormat="1" applyFont="1" applyFill="1" applyBorder="1" applyAlignment="1">
      <alignment horizontal="center" vertical="center" wrapText="1" readingOrder="1"/>
    </xf>
    <xf numFmtId="0" fontId="42" fillId="0" borderId="26" xfId="0" applyFont="1" applyFill="1" applyBorder="1" applyAlignment="1">
      <alignment horizontal="left" vertical="center" wrapText="1" readingOrder="1"/>
    </xf>
    <xf numFmtId="0" fontId="40" fillId="0" borderId="27" xfId="0" applyFont="1" applyFill="1" applyBorder="1" applyAlignment="1">
      <alignment vertical="center" wrapText="1"/>
    </xf>
    <xf numFmtId="0" fontId="40" fillId="0" borderId="27" xfId="0" applyFont="1" applyFill="1" applyBorder="1" applyAlignment="1">
      <alignment horizontal="center" vertical="center" wrapText="1"/>
    </xf>
    <xf numFmtId="9" fontId="42" fillId="0" borderId="26" xfId="1" applyFont="1" applyFill="1" applyBorder="1" applyAlignment="1">
      <alignment horizontal="center" vertical="center" wrapText="1" readingOrder="1"/>
    </xf>
    <xf numFmtId="165" fontId="42" fillId="0" borderId="26" xfId="1" applyNumberFormat="1" applyFont="1" applyFill="1" applyBorder="1" applyAlignment="1">
      <alignment horizontal="center" vertical="center" wrapText="1" readingOrder="1"/>
    </xf>
    <xf numFmtId="0" fontId="42" fillId="0" borderId="26" xfId="0" applyFont="1" applyFill="1" applyBorder="1" applyAlignment="1">
      <alignment horizontal="left" vertical="center" wrapText="1" readingOrder="1"/>
    </xf>
    <xf numFmtId="41" fontId="32" fillId="0" borderId="0" xfId="3" applyFont="1"/>
    <xf numFmtId="41" fontId="31" fillId="0" borderId="0" xfId="3"/>
    <xf numFmtId="166" fontId="32" fillId="10" borderId="0" xfId="4">
      <alignment horizontal="center"/>
    </xf>
    <xf numFmtId="166" fontId="32" fillId="10" borderId="28" xfId="4" applyBorder="1">
      <alignment horizontal="center"/>
    </xf>
    <xf numFmtId="41" fontId="33" fillId="0" borderId="0" xfId="15" applyNumberFormat="1"/>
    <xf numFmtId="41" fontId="31" fillId="0" borderId="28" xfId="3" applyBorder="1"/>
    <xf numFmtId="10" fontId="0" fillId="0" borderId="0" xfId="5" applyNumberFormat="1" applyFont="1"/>
    <xf numFmtId="10" fontId="0" fillId="0" borderId="28" xfId="5" applyNumberFormat="1" applyFont="1" applyBorder="1"/>
    <xf numFmtId="164" fontId="0" fillId="0" borderId="0" xfId="6" applyNumberFormat="1" applyFont="1"/>
    <xf numFmtId="164" fontId="0" fillId="0" borderId="28" xfId="6" applyNumberFormat="1" applyFont="1" applyBorder="1"/>
    <xf numFmtId="41" fontId="32" fillId="0" borderId="20" xfId="7"/>
    <xf numFmtId="41" fontId="32" fillId="0" borderId="29" xfId="7" applyBorder="1"/>
    <xf numFmtId="41" fontId="32" fillId="0" borderId="21" xfId="8" applyNumberFormat="1"/>
    <xf numFmtId="164" fontId="32" fillId="0" borderId="21" xfId="8" applyNumberFormat="1"/>
    <xf numFmtId="164" fontId="32" fillId="0" borderId="30" xfId="8" applyNumberFormat="1" applyBorder="1"/>
    <xf numFmtId="41" fontId="32" fillId="0" borderId="0" xfId="8" applyNumberFormat="1" applyFill="1" applyBorder="1"/>
    <xf numFmtId="9" fontId="0" fillId="0" borderId="0" xfId="5" applyFont="1"/>
    <xf numFmtId="9" fontId="0" fillId="0" borderId="28" xfId="5" applyFont="1" applyBorder="1"/>
    <xf numFmtId="166" fontId="32" fillId="10" borderId="31" xfId="4" applyBorder="1">
      <alignment horizontal="center"/>
    </xf>
    <xf numFmtId="41" fontId="33" fillId="0" borderId="0" xfId="15" applyNumberFormat="1" applyBorder="1"/>
    <xf numFmtId="41" fontId="31" fillId="0" borderId="31" xfId="3" applyBorder="1"/>
    <xf numFmtId="10" fontId="0" fillId="0" borderId="31" xfId="5" applyNumberFormat="1" applyFont="1" applyBorder="1"/>
    <xf numFmtId="164" fontId="0" fillId="0" borderId="31" xfId="6" applyNumberFormat="1" applyFont="1" applyBorder="1"/>
    <xf numFmtId="41" fontId="32" fillId="0" borderId="32" xfId="7" applyBorder="1"/>
    <xf numFmtId="164" fontId="32" fillId="0" borderId="33" xfId="8" applyNumberFormat="1" applyBorder="1"/>
    <xf numFmtId="165" fontId="0" fillId="0" borderId="0" xfId="5" applyNumberFormat="1" applyFont="1"/>
    <xf numFmtId="165" fontId="0" fillId="0" borderId="31" xfId="5" applyNumberFormat="1" applyFont="1" applyBorder="1"/>
    <xf numFmtId="9" fontId="0" fillId="0" borderId="31" xfId="5" applyFont="1" applyBorder="1"/>
    <xf numFmtId="0" fontId="11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164" fontId="9" fillId="6" borderId="0" xfId="0" applyNumberFormat="1" applyFont="1" applyFill="1" applyBorder="1" applyAlignment="1">
      <alignment horizontal="right" wrapText="1" readingOrder="1"/>
    </xf>
    <xf numFmtId="164" fontId="0" fillId="0" borderId="0" xfId="2" applyNumberFormat="1" applyFont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4" fontId="4" fillId="2" borderId="1" xfId="2" applyNumberFormat="1" applyFont="1" applyFill="1" applyBorder="1" applyAlignment="1">
      <alignment horizontal="center" vertical="center" wrapText="1" readingOrder="1"/>
    </xf>
    <xf numFmtId="164" fontId="0" fillId="0" borderId="0" xfId="2" applyNumberFormat="1" applyFont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4" fontId="4" fillId="2" borderId="1" xfId="2" applyNumberFormat="1" applyFont="1" applyFill="1" applyBorder="1" applyAlignment="1">
      <alignment horizontal="center" vertical="center" wrapText="1" readingOrder="1"/>
    </xf>
    <xf numFmtId="0" fontId="0" fillId="0" borderId="0" xfId="0"/>
    <xf numFmtId="0" fontId="4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164" fontId="0" fillId="0" borderId="0" xfId="2" applyNumberFormat="1" applyFont="1"/>
    <xf numFmtId="9" fontId="12" fillId="5" borderId="1" xfId="1" applyFont="1" applyFill="1" applyBorder="1" applyAlignment="1">
      <alignment horizontal="center" vertical="center" wrapText="1" readingOrder="1"/>
    </xf>
    <xf numFmtId="9" fontId="0" fillId="0" borderId="0" xfId="1" applyFont="1" applyAlignment="1">
      <alignment horizontal="center" vertical="center"/>
    </xf>
    <xf numFmtId="9" fontId="0" fillId="0" borderId="0" xfId="1" applyFont="1" applyAlignment="1">
      <alignment horizontal="center"/>
    </xf>
    <xf numFmtId="9" fontId="4" fillId="2" borderId="1" xfId="1" applyFont="1" applyFill="1" applyBorder="1" applyAlignment="1">
      <alignment horizontal="center" vertical="center" wrapText="1" readingOrder="1"/>
    </xf>
    <xf numFmtId="9" fontId="4" fillId="2" borderId="15" xfId="1" applyFont="1" applyFill="1" applyBorder="1" applyAlignment="1">
      <alignment horizontal="center" vertical="center" wrapText="1" readingOrder="1"/>
    </xf>
    <xf numFmtId="37" fontId="0" fillId="0" borderId="0" xfId="0" applyNumberFormat="1"/>
    <xf numFmtId="0" fontId="0" fillId="0" borderId="0" xfId="0"/>
    <xf numFmtId="0" fontId="0" fillId="0" borderId="5" xfId="0" applyBorder="1"/>
    <xf numFmtId="0" fontId="0" fillId="0" borderId="0" xfId="0" applyAlignment="1">
      <alignment horizontal="center"/>
    </xf>
    <xf numFmtId="0" fontId="3" fillId="0" borderId="9" xfId="0" applyFont="1" applyBorder="1" applyAlignment="1">
      <alignment vertical="center" wrapText="1"/>
    </xf>
    <xf numFmtId="0" fontId="0" fillId="0" borderId="5" xfId="0" applyBorder="1" applyAlignment="1">
      <alignment horizontal="center"/>
    </xf>
    <xf numFmtId="164" fontId="0" fillId="0" borderId="0" xfId="2" applyNumberFormat="1" applyFont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4" fontId="4" fillId="2" borderId="1" xfId="2" applyNumberFormat="1" applyFont="1" applyFill="1" applyBorder="1" applyAlignment="1">
      <alignment horizontal="center" vertical="center" wrapText="1" readingOrder="1"/>
    </xf>
    <xf numFmtId="164" fontId="0" fillId="0" borderId="0" xfId="2" applyNumberFormat="1" applyFont="1"/>
    <xf numFmtId="9" fontId="12" fillId="5" borderId="1" xfId="1" applyFont="1" applyFill="1" applyBorder="1" applyAlignment="1">
      <alignment horizontal="center" vertical="center" wrapText="1" readingOrder="1"/>
    </xf>
    <xf numFmtId="9" fontId="0" fillId="0" borderId="0" xfId="1" applyFont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0" xfId="1" applyFont="1" applyAlignment="1">
      <alignment horizontal="center"/>
    </xf>
    <xf numFmtId="9" fontId="0" fillId="0" borderId="5" xfId="1" applyFont="1" applyBorder="1" applyAlignment="1">
      <alignment horizontal="center"/>
    </xf>
    <xf numFmtId="9" fontId="0" fillId="0" borderId="0" xfId="1" applyNumberFormat="1" applyFont="1" applyAlignment="1">
      <alignment horizontal="center" vertical="center"/>
    </xf>
    <xf numFmtId="9" fontId="0" fillId="0" borderId="5" xfId="1" applyNumberFormat="1" applyFont="1" applyBorder="1" applyAlignment="1">
      <alignment horizontal="center" vertical="center"/>
    </xf>
    <xf numFmtId="164" fontId="4" fillId="2" borderId="15" xfId="2" applyNumberFormat="1" applyFont="1" applyFill="1" applyBorder="1" applyAlignment="1">
      <alignment horizontal="center" vertical="center" wrapText="1" readingOrder="1"/>
    </xf>
    <xf numFmtId="9" fontId="12" fillId="5" borderId="15" xfId="1" applyFont="1" applyFill="1" applyBorder="1" applyAlignment="1">
      <alignment horizontal="center" vertical="center" wrapText="1" readingOrder="1"/>
    </xf>
    <xf numFmtId="0" fontId="0" fillId="0" borderId="0" xfId="0"/>
    <xf numFmtId="164" fontId="4" fillId="2" borderId="1" xfId="2" applyNumberFormat="1" applyFont="1" applyFill="1" applyBorder="1" applyAlignment="1">
      <alignment horizontal="center" vertical="center" wrapText="1" readingOrder="1"/>
    </xf>
    <xf numFmtId="164" fontId="0" fillId="0" borderId="0" xfId="2" applyNumberFormat="1" applyFont="1"/>
    <xf numFmtId="9" fontId="12" fillId="5" borderId="1" xfId="1" applyFont="1" applyFill="1" applyBorder="1" applyAlignment="1">
      <alignment horizontal="center" vertical="center" wrapText="1" readingOrder="1"/>
    </xf>
    <xf numFmtId="9" fontId="0" fillId="0" borderId="0" xfId="1" applyFont="1" applyAlignment="1">
      <alignment horizontal="center" vertical="center"/>
    </xf>
    <xf numFmtId="9" fontId="0" fillId="0" borderId="0" xfId="1" applyFont="1" applyAlignment="1">
      <alignment horizontal="center"/>
    </xf>
    <xf numFmtId="10" fontId="4" fillId="2" borderId="1" xfId="1" applyNumberFormat="1" applyFont="1" applyFill="1" applyBorder="1" applyAlignment="1">
      <alignment horizontal="center" vertical="center" wrapText="1" readingOrder="1"/>
    </xf>
    <xf numFmtId="9" fontId="0" fillId="0" borderId="0" xfId="0" applyNumberFormat="1" applyAlignment="1">
      <alignment horizontal="center" vertical="center"/>
    </xf>
    <xf numFmtId="0" fontId="0" fillId="0" borderId="0" xfId="0"/>
    <xf numFmtId="2" fontId="0" fillId="9" borderId="0" xfId="0" applyNumberFormat="1" applyFill="1"/>
    <xf numFmtId="0" fontId="0" fillId="0" borderId="0" xfId="0"/>
    <xf numFmtId="0" fontId="0" fillId="0" borderId="5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2" applyNumberFormat="1" applyFont="1" applyAlignment="1">
      <alignment horizontal="center"/>
    </xf>
    <xf numFmtId="9" fontId="0" fillId="0" borderId="0" xfId="1" applyFont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0" xfId="1" applyFont="1" applyAlignment="1">
      <alignment horizontal="center"/>
    </xf>
    <xf numFmtId="9" fontId="0" fillId="0" borderId="5" xfId="1" applyFont="1" applyBorder="1" applyAlignment="1">
      <alignment horizontal="center"/>
    </xf>
    <xf numFmtId="164" fontId="0" fillId="0" borderId="0" xfId="2" applyNumberFormat="1" applyFont="1" applyFill="1" applyAlignment="1">
      <alignment horizontal="center"/>
    </xf>
    <xf numFmtId="164" fontId="2" fillId="0" borderId="5" xfId="2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64" fontId="0" fillId="0" borderId="0" xfId="2" applyNumberFormat="1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wrapText="1"/>
    </xf>
    <xf numFmtId="9" fontId="15" fillId="0" borderId="10" xfId="1" applyFont="1" applyBorder="1" applyAlignment="1">
      <alignment horizontal="center" vertical="center" wrapText="1" readingOrder="1"/>
    </xf>
    <xf numFmtId="0" fontId="20" fillId="0" borderId="0" xfId="0" applyFont="1" applyAlignment="1">
      <alignment horizontal="left" vertical="center" readingOrder="1"/>
    </xf>
    <xf numFmtId="9" fontId="16" fillId="0" borderId="0" xfId="1" applyFont="1" applyAlignment="1">
      <alignment vertical="center" wrapText="1"/>
    </xf>
    <xf numFmtId="9" fontId="16" fillId="0" borderId="0" xfId="1" applyFont="1" applyAlignment="1">
      <alignment wrapText="1"/>
    </xf>
    <xf numFmtId="164" fontId="9" fillId="6" borderId="0" xfId="0" applyNumberFormat="1" applyFont="1" applyFill="1" applyBorder="1" applyAlignment="1">
      <alignment horizontal="left" vertical="center" wrapText="1" readingOrder="1"/>
    </xf>
    <xf numFmtId="0" fontId="16" fillId="0" borderId="0" xfId="0" applyFont="1" applyBorder="1" applyAlignment="1">
      <alignment horizontal="right" wrapText="1" readingOrder="1"/>
    </xf>
    <xf numFmtId="164" fontId="9" fillId="6" borderId="0" xfId="0" applyNumberFormat="1" applyFont="1" applyFill="1" applyBorder="1" applyAlignment="1">
      <alignment horizontal="right" vertical="center" wrapText="1" readingOrder="1"/>
    </xf>
    <xf numFmtId="0" fontId="0" fillId="0" borderId="0" xfId="0"/>
    <xf numFmtId="164" fontId="0" fillId="0" borderId="0" xfId="2" applyNumberFormat="1" applyFont="1"/>
    <xf numFmtId="9" fontId="0" fillId="0" borderId="0" xfId="1" applyFont="1" applyAlignment="1">
      <alignment horizontal="center" vertical="center"/>
    </xf>
    <xf numFmtId="9" fontId="0" fillId="0" borderId="0" xfId="1" applyFont="1" applyAlignment="1">
      <alignment horizontal="center"/>
    </xf>
    <xf numFmtId="0" fontId="0" fillId="0" borderId="0" xfId="0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wrapText="1"/>
    </xf>
    <xf numFmtId="9" fontId="12" fillId="5" borderId="1" xfId="1" applyFont="1" applyFill="1" applyBorder="1" applyAlignment="1">
      <alignment horizontal="center" vertical="center" wrapText="1" readingOrder="1"/>
    </xf>
    <xf numFmtId="9" fontId="4" fillId="2" borderId="1" xfId="1" applyFont="1" applyFill="1" applyBorder="1" applyAlignment="1">
      <alignment horizontal="center" vertical="center" wrapText="1" readingOrder="1"/>
    </xf>
    <xf numFmtId="9" fontId="4" fillId="2" borderId="15" xfId="1" applyFont="1" applyFill="1" applyBorder="1" applyAlignment="1">
      <alignment horizontal="center" vertical="center" wrapText="1" readingOrder="1"/>
    </xf>
    <xf numFmtId="164" fontId="0" fillId="0" borderId="0" xfId="0" applyNumberFormat="1"/>
    <xf numFmtId="165" fontId="15" fillId="0" borderId="10" xfId="1" applyNumberFormat="1" applyFont="1" applyBorder="1" applyAlignment="1">
      <alignment horizontal="center" vertical="center" wrapText="1" readingOrder="1"/>
    </xf>
    <xf numFmtId="164" fontId="17" fillId="2" borderId="1" xfId="2" applyNumberFormat="1" applyFont="1" applyFill="1" applyBorder="1" applyAlignment="1">
      <alignment horizontal="center" vertical="center" wrapText="1" readingOrder="1"/>
    </xf>
    <xf numFmtId="164" fontId="16" fillId="0" borderId="9" xfId="2" applyNumberFormat="1" applyFont="1" applyBorder="1" applyAlignment="1">
      <alignment vertical="center" wrapText="1"/>
    </xf>
    <xf numFmtId="164" fontId="12" fillId="5" borderId="1" xfId="2" applyNumberFormat="1" applyFont="1" applyFill="1" applyBorder="1" applyAlignment="1">
      <alignment horizontal="center" vertical="center" wrapText="1" readingOrder="1"/>
    </xf>
    <xf numFmtId="164" fontId="17" fillId="2" borderId="12" xfId="2" applyNumberFormat="1" applyFont="1" applyFill="1" applyBorder="1" applyAlignment="1">
      <alignment horizontal="center" vertical="center" wrapText="1" readingOrder="1"/>
    </xf>
  </cellXfs>
  <cellStyles count="16">
    <cellStyle name="CMG Actual" xfId="9"/>
    <cellStyle name="CMG Estimate" xfId="10"/>
    <cellStyle name="CMG Forecast" xfId="11"/>
    <cellStyle name="Comma" xfId="2" builtinId="3"/>
    <cellStyle name="Comma 2" xfId="6"/>
    <cellStyle name="Header" xfId="4"/>
    <cellStyle name="Heading 1 2" xfId="15"/>
    <cellStyle name="Link-inputs" xfId="12"/>
    <cellStyle name="Link-outputs" xfId="13"/>
    <cellStyle name="Link-sub_sheet" xfId="14"/>
    <cellStyle name="Normal" xfId="0" builtinId="0"/>
    <cellStyle name="Normal 2" xfId="3"/>
    <cellStyle name="Percent" xfId="1" builtinId="5"/>
    <cellStyle name="Percent 2" xfId="5"/>
    <cellStyle name="Subtotal" xfId="7"/>
    <cellStyle name="Total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805913\AppData\Local\Microsoft\Windows\Temporary%20Internet%20Files\Content.Outlook\N4FJCJX5\SBNA%20Capital%20Forecast%20Tool%20-%20StratPlan%2010_17_15%20v1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LFMG\Dept\LIBROS%20DN%20PROJECT\SP18\R2\Other%20requests\Jornada%20Miami\Santander%20Bank%20EP_Eric%20RWA%20SBNA%20and%20HoldCo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ormabop3\docs\CPPLN\18R3\RISK\Strategic%20Plan%20Template%20TOTAL%20BAU%20+%20Initiatives%20RWA%20V2%20SBNA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ormabop3\docs\BLFMG\Dept\LIBROS%20DN%20PROJECT\Source%20&amp;%20Working%20files%20(former%20LIBROS%20DE%20NEGOCIO%20under%20Profitability)\2014\Dec\Final%20Restatement%20New%20LDN%20Format%20v5%20Restatement%20v3\LDN%20GENERAL%20(Business%20Book)_SBNA_2014A%20restatement%2009.2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ormabop3\docs\BLFMG\Dept\LIBROS%20DN%20PROJECT\Source%20&amp;%20Working%20files%20(former%20LIBROS%20DE%20NEGOCIO%20under%20Profitability)\2014\Dec\Final%20Restatement%20New%20LDN%20Format%20v5%20Restatement%20v3\New%20LDN%20GENERAL%20(Business%20Book)%20Optomizado_HOLDCO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805913\AppData\Local\Microsoft\Windows\Temporary%20Internet%20Files\Content.Outlook\N4FJCJX5\P18%20Financial%20Estimates%20slides_SCUSA%20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805913\AppData\Local\Microsoft\Windows\Temporary%20Internet%20Files\Content.Outlook\N4FJCJX5\P18%20Financial%20Estimates%20slides_SCUS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LFMG\Dept\LIBROS%20DN%20PROJECT\SP18\R2\P-18%20(Business%20Book)%20R2%20Holdc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805913\AppData\Local\Microsoft\Windows\Temporary%20Internet%20Files\Content.Outlook\N4FJCJX5\P-18%20(Business%20Book)%20R2%20Treasury%20HoldCo%20onl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LFMG\Dept\LIBROS%20DN%20PROJECT\SP18\R2\P-18%20(Business%20Book)%20R2%20SBNA%20with%20spanish%20adj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805913\AppData\Local\Microsoft\Windows\Temporary%20Internet%20Files\Content.Outlook\N4FJCJX5\P-18%20(Business%20Book)%20R2%20Treasury%20SBNA%20onl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PPLN\18R2\RISK\Strategic%20Plan%20Template%20TOTAL%20BAU%20+%20Initiatives%20RWA%20V2%20SBN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805913\AppData\Local\Microsoft\Windows\Temporary%20Internet%20Files\Content.Outlook\N4FJCJX5\Market%20Share%20for%20P1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LFMG\Dept\LIBROS%20DN%20PROJECT\SP18\R2\Spanish%20P&amp;L_Santander%20Bank_2015-2018%20SP18%20R2%20non%20adj%20Imputados%20adj%20after%20Holdco%20and%20taxes%202015%20Xav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nputs"/>
      <sheetName val="Dividends"/>
      <sheetName val="DTA"/>
      <sheetName val="Intangibles"/>
      <sheetName val="SubDebt"/>
      <sheetName val="Allowance and RWA"/>
      <sheetName val="Capital Ratio Forecast"/>
      <sheetName val="Outputs"/>
      <sheetName val="Reference"/>
    </sheetNames>
    <sheetDataSet>
      <sheetData sheetId="0"/>
      <sheetData sheetId="1">
        <row r="6">
          <cell r="A6" t="str">
            <v>Input</v>
          </cell>
          <cell r="B6">
            <v>41729</v>
          </cell>
          <cell r="C6">
            <v>41820</v>
          </cell>
          <cell r="D6">
            <v>41912</v>
          </cell>
          <cell r="E6">
            <v>42004</v>
          </cell>
          <cell r="F6">
            <v>42094</v>
          </cell>
          <cell r="G6">
            <v>42185</v>
          </cell>
          <cell r="H6">
            <v>42277</v>
          </cell>
          <cell r="I6">
            <v>42369</v>
          </cell>
          <cell r="J6">
            <v>42460</v>
          </cell>
          <cell r="K6">
            <v>42551</v>
          </cell>
          <cell r="L6">
            <v>42643</v>
          </cell>
          <cell r="M6">
            <v>42735</v>
          </cell>
          <cell r="N6">
            <v>42825</v>
          </cell>
          <cell r="O6">
            <v>42916</v>
          </cell>
          <cell r="P6">
            <v>43008</v>
          </cell>
          <cell r="Q6">
            <v>43100</v>
          </cell>
          <cell r="R6">
            <v>43190</v>
          </cell>
          <cell r="S6">
            <v>43281</v>
          </cell>
          <cell r="T6">
            <v>43373</v>
          </cell>
          <cell r="U6">
            <v>43465</v>
          </cell>
          <cell r="V6">
            <v>43555</v>
          </cell>
          <cell r="W6">
            <v>43646</v>
          </cell>
          <cell r="X6">
            <v>43738</v>
          </cell>
          <cell r="Y6">
            <v>43830</v>
          </cell>
          <cell r="Z6">
            <v>43921</v>
          </cell>
          <cell r="AA6">
            <v>44012</v>
          </cell>
          <cell r="AB6">
            <v>44104</v>
          </cell>
          <cell r="AC6">
            <v>44196</v>
          </cell>
        </row>
        <row r="7">
          <cell r="A7" t="str">
            <v>Equity changes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AC7">
            <v>0</v>
          </cell>
        </row>
        <row r="8">
          <cell r="A8" t="str">
            <v>Net income</v>
          </cell>
          <cell r="B8">
            <v>78787.11</v>
          </cell>
          <cell r="C8">
            <v>79354.990000000005</v>
          </cell>
          <cell r="D8">
            <v>115773</v>
          </cell>
          <cell r="E8">
            <v>101752.42</v>
          </cell>
          <cell r="F8">
            <v>58747.02</v>
          </cell>
          <cell r="G8">
            <v>98410.35</v>
          </cell>
          <cell r="H8">
            <v>11189.689925934441</v>
          </cell>
          <cell r="I8">
            <v>31926.67853772852</v>
          </cell>
          <cell r="J8">
            <v>26742.608574309059</v>
          </cell>
          <cell r="K8">
            <v>36920.672226384988</v>
          </cell>
          <cell r="L8">
            <v>48223.15133630178</v>
          </cell>
          <cell r="M8">
            <v>64171.074044923662</v>
          </cell>
          <cell r="N8">
            <v>62879.542192566034</v>
          </cell>
          <cell r="O8">
            <v>70229.148925222631</v>
          </cell>
          <cell r="P8">
            <v>90407.119193128543</v>
          </cell>
          <cell r="Q8">
            <v>100913.57902749437</v>
          </cell>
          <cell r="R8">
            <v>103223.18228357735</v>
          </cell>
          <cell r="S8">
            <v>113503.76035717336</v>
          </cell>
          <cell r="T8">
            <v>133147.53784876168</v>
          </cell>
          <cell r="U8">
            <v>141333.72457568281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</row>
        <row r="9">
          <cell r="A9" t="str">
            <v>Unrealized gain (loss) on AFS securities</v>
          </cell>
          <cell r="B9">
            <v>-116531</v>
          </cell>
          <cell r="C9">
            <v>-70404</v>
          </cell>
          <cell r="D9">
            <v>-88101</v>
          </cell>
          <cell r="E9">
            <v>-52515</v>
          </cell>
          <cell r="F9">
            <v>13475</v>
          </cell>
          <cell r="G9">
            <v>-74758</v>
          </cell>
          <cell r="H9">
            <v>-70440</v>
          </cell>
          <cell r="I9">
            <v>-70440</v>
          </cell>
          <cell r="J9">
            <v>-70440</v>
          </cell>
          <cell r="K9">
            <v>-70440</v>
          </cell>
          <cell r="L9">
            <v>-70440</v>
          </cell>
          <cell r="M9">
            <v>-70440</v>
          </cell>
          <cell r="N9">
            <v>-70440</v>
          </cell>
          <cell r="O9">
            <v>-70440</v>
          </cell>
          <cell r="P9">
            <v>-70440</v>
          </cell>
          <cell r="Q9">
            <v>-70440</v>
          </cell>
          <cell r="R9">
            <v>-70440</v>
          </cell>
          <cell r="S9">
            <v>-70440</v>
          </cell>
          <cell r="T9">
            <v>-70440</v>
          </cell>
          <cell r="U9">
            <v>-70440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</row>
        <row r="10">
          <cell r="A10" t="str">
            <v>Unrealized gain (loss) on CF hedges</v>
          </cell>
          <cell r="B10">
            <v>-31739</v>
          </cell>
          <cell r="C10">
            <v>-28432</v>
          </cell>
          <cell r="D10">
            <v>-19204</v>
          </cell>
          <cell r="E10">
            <v>-16903</v>
          </cell>
          <cell r="F10">
            <v>-19193</v>
          </cell>
          <cell r="G10">
            <v>-15542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</row>
        <row r="11">
          <cell r="A11" t="str">
            <v>Pension actuarial gain (loss)</v>
          </cell>
          <cell r="B11">
            <v>-14991</v>
          </cell>
          <cell r="C11">
            <v>-14718</v>
          </cell>
          <cell r="D11">
            <v>-14446</v>
          </cell>
          <cell r="E11">
            <v>-29635</v>
          </cell>
          <cell r="F11">
            <v>-29020</v>
          </cell>
          <cell r="G11">
            <v>-28583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</row>
        <row r="12">
          <cell r="A12" t="str">
            <v>Other equity changes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A13" t="str">
            <v>Intangible impairment/amortization</v>
          </cell>
          <cell r="E13">
            <v>0</v>
          </cell>
          <cell r="I13">
            <v>0</v>
          </cell>
          <cell r="M13">
            <v>0</v>
          </cell>
          <cell r="Q13">
            <v>0</v>
          </cell>
          <cell r="U13">
            <v>0</v>
          </cell>
          <cell r="Y13">
            <v>0</v>
          </cell>
          <cell r="AC13">
            <v>0</v>
          </cell>
        </row>
        <row r="14">
          <cell r="A14" t="str">
            <v>SBNA goodwill net change (impairment)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A15" t="str">
            <v>SBNA PCCI net change</v>
          </cell>
          <cell r="B15">
            <v>0</v>
          </cell>
          <cell r="C15">
            <v>-515</v>
          </cell>
          <cell r="D15">
            <v>-516</v>
          </cell>
          <cell r="E15">
            <v>-496</v>
          </cell>
          <cell r="F15">
            <v>-489</v>
          </cell>
          <cell r="G15">
            <v>-468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A16" t="str">
            <v>SBNA software net change</v>
          </cell>
          <cell r="B16">
            <v>0</v>
          </cell>
          <cell r="C16">
            <v>-117304</v>
          </cell>
          <cell r="D16">
            <v>3622</v>
          </cell>
          <cell r="E16">
            <v>5305</v>
          </cell>
          <cell r="F16">
            <v>-10282</v>
          </cell>
          <cell r="G16">
            <v>-2171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A17" t="str">
            <v>SBNA CDI net change</v>
          </cell>
          <cell r="B17">
            <v>0</v>
          </cell>
          <cell r="C17">
            <v>-4091</v>
          </cell>
          <cell r="D17">
            <v>-3355</v>
          </cell>
          <cell r="E17">
            <v>-2898</v>
          </cell>
          <cell r="F17">
            <v>-2440</v>
          </cell>
          <cell r="G17">
            <v>-1983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A18" t="str">
            <v>Other SBNA intangibles net change</v>
          </cell>
          <cell r="B18">
            <v>0</v>
          </cell>
          <cell r="C18">
            <v>-315</v>
          </cell>
          <cell r="D18">
            <v>-305</v>
          </cell>
          <cell r="E18">
            <v>256</v>
          </cell>
          <cell r="F18">
            <v>-319</v>
          </cell>
          <cell r="G18">
            <v>-354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A19" t="str">
            <v>Tax assumptions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AC19">
            <v>0</v>
          </cell>
        </row>
        <row r="20">
          <cell r="A20" t="str">
            <v>NOL Deferred tax assets (DTAs), net</v>
          </cell>
          <cell r="B20">
            <v>440000</v>
          </cell>
          <cell r="C20">
            <v>440000</v>
          </cell>
          <cell r="D20">
            <v>440000</v>
          </cell>
          <cell r="E20">
            <v>442148</v>
          </cell>
          <cell r="F20">
            <v>460792</v>
          </cell>
          <cell r="G20">
            <v>465692</v>
          </cell>
          <cell r="H20">
            <v>465692</v>
          </cell>
          <cell r="I20">
            <v>465692</v>
          </cell>
          <cell r="J20">
            <v>465692</v>
          </cell>
          <cell r="K20">
            <v>465692</v>
          </cell>
          <cell r="L20">
            <v>465692</v>
          </cell>
          <cell r="M20">
            <v>465692</v>
          </cell>
          <cell r="N20">
            <v>465692</v>
          </cell>
          <cell r="O20">
            <v>465692</v>
          </cell>
          <cell r="P20">
            <v>465692</v>
          </cell>
          <cell r="Q20">
            <v>465692</v>
          </cell>
          <cell r="R20">
            <v>465692</v>
          </cell>
          <cell r="S20">
            <v>465692</v>
          </cell>
          <cell r="T20">
            <v>465692</v>
          </cell>
          <cell r="U20">
            <v>465692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A21" t="str">
            <v>Temporary difference DTAs, net</v>
          </cell>
          <cell r="B21">
            <v>600000</v>
          </cell>
          <cell r="C21">
            <v>600000</v>
          </cell>
          <cell r="D21">
            <v>600000</v>
          </cell>
          <cell r="E21">
            <v>610774</v>
          </cell>
          <cell r="F21">
            <v>605148</v>
          </cell>
          <cell r="G21">
            <v>589023</v>
          </cell>
          <cell r="H21">
            <v>589023</v>
          </cell>
          <cell r="I21">
            <v>589023</v>
          </cell>
          <cell r="J21">
            <v>589023</v>
          </cell>
          <cell r="K21">
            <v>589023</v>
          </cell>
          <cell r="L21">
            <v>589023</v>
          </cell>
          <cell r="M21">
            <v>589023</v>
          </cell>
          <cell r="N21">
            <v>589023</v>
          </cell>
          <cell r="O21">
            <v>589023</v>
          </cell>
          <cell r="P21">
            <v>589023</v>
          </cell>
          <cell r="Q21">
            <v>589023</v>
          </cell>
          <cell r="R21">
            <v>589023</v>
          </cell>
          <cell r="S21">
            <v>589023</v>
          </cell>
          <cell r="T21">
            <v>589023</v>
          </cell>
          <cell r="U21">
            <v>589023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A22" t="str">
            <v>SBNA goodwill DTL</v>
          </cell>
          <cell r="B22">
            <v>315543</v>
          </cell>
          <cell r="C22">
            <v>320870</v>
          </cell>
          <cell r="D22">
            <v>326197</v>
          </cell>
          <cell r="E22">
            <v>336435</v>
          </cell>
          <cell r="F22">
            <v>341841</v>
          </cell>
          <cell r="G22">
            <v>342724</v>
          </cell>
          <cell r="H22">
            <v>342724</v>
          </cell>
          <cell r="I22">
            <v>342724</v>
          </cell>
          <cell r="J22">
            <v>342724</v>
          </cell>
          <cell r="K22">
            <v>342724</v>
          </cell>
          <cell r="L22">
            <v>342724</v>
          </cell>
          <cell r="M22">
            <v>342724</v>
          </cell>
          <cell r="N22">
            <v>342724</v>
          </cell>
          <cell r="O22">
            <v>342724</v>
          </cell>
          <cell r="P22">
            <v>342724</v>
          </cell>
          <cell r="Q22">
            <v>342724</v>
          </cell>
          <cell r="R22">
            <v>342724</v>
          </cell>
          <cell r="S22">
            <v>342724</v>
          </cell>
          <cell r="T22">
            <v>342724</v>
          </cell>
          <cell r="U22">
            <v>342724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A23" t="str">
            <v>SBNA CDI DTL</v>
          </cell>
          <cell r="B23">
            <v>9673</v>
          </cell>
          <cell r="C23">
            <v>7955</v>
          </cell>
          <cell r="D23">
            <v>6528</v>
          </cell>
          <cell r="E23">
            <v>5358</v>
          </cell>
          <cell r="F23">
            <v>4264</v>
          </cell>
          <cell r="G23">
            <v>3304</v>
          </cell>
          <cell r="H23">
            <v>3304</v>
          </cell>
          <cell r="I23">
            <v>3304</v>
          </cell>
          <cell r="J23">
            <v>3304</v>
          </cell>
          <cell r="K23">
            <v>3304</v>
          </cell>
          <cell r="L23">
            <v>3304</v>
          </cell>
          <cell r="M23">
            <v>3304</v>
          </cell>
          <cell r="N23">
            <v>3304</v>
          </cell>
          <cell r="O23">
            <v>3304</v>
          </cell>
          <cell r="P23">
            <v>3304</v>
          </cell>
          <cell r="Q23">
            <v>3304</v>
          </cell>
          <cell r="R23">
            <v>3304</v>
          </cell>
          <cell r="S23">
            <v>3304</v>
          </cell>
          <cell r="T23">
            <v>3304</v>
          </cell>
          <cell r="U23">
            <v>3304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A24" t="str">
            <v>Mortgage servicing assets, net</v>
          </cell>
          <cell r="B24">
            <v>134775</v>
          </cell>
          <cell r="C24">
            <v>124118</v>
          </cell>
          <cell r="D24">
            <v>131791</v>
          </cell>
          <cell r="E24">
            <v>145047</v>
          </cell>
          <cell r="F24">
            <v>135452</v>
          </cell>
          <cell r="G24">
            <v>156850</v>
          </cell>
          <cell r="H24">
            <v>156850</v>
          </cell>
          <cell r="I24">
            <v>156850</v>
          </cell>
          <cell r="J24">
            <v>156850</v>
          </cell>
          <cell r="K24">
            <v>156850</v>
          </cell>
          <cell r="L24">
            <v>156850</v>
          </cell>
          <cell r="M24">
            <v>156850</v>
          </cell>
          <cell r="N24">
            <v>156850</v>
          </cell>
          <cell r="O24">
            <v>156850</v>
          </cell>
          <cell r="P24">
            <v>156850</v>
          </cell>
          <cell r="Q24">
            <v>156850</v>
          </cell>
          <cell r="R24">
            <v>156850</v>
          </cell>
          <cell r="S24">
            <v>156850</v>
          </cell>
          <cell r="T24">
            <v>156850</v>
          </cell>
          <cell r="U24">
            <v>156850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A25" t="str">
            <v>Balance sheet assumptions</v>
          </cell>
          <cell r="E25">
            <v>0</v>
          </cell>
          <cell r="I25">
            <v>0</v>
          </cell>
          <cell r="M25">
            <v>0</v>
          </cell>
          <cell r="Q25">
            <v>0</v>
          </cell>
          <cell r="U25">
            <v>0</v>
          </cell>
          <cell r="Y25">
            <v>0</v>
          </cell>
          <cell r="AC25">
            <v>0</v>
          </cell>
        </row>
        <row r="26">
          <cell r="A26" t="str">
            <v>Total assets</v>
          </cell>
          <cell r="B26">
            <v>74819276</v>
          </cell>
          <cell r="C26">
            <v>77251104</v>
          </cell>
          <cell r="D26">
            <v>77335367</v>
          </cell>
          <cell r="E26">
            <v>80472892</v>
          </cell>
          <cell r="F26">
            <v>83077152</v>
          </cell>
          <cell r="G26">
            <v>84675617</v>
          </cell>
          <cell r="H26">
            <v>89433543.82904999</v>
          </cell>
          <cell r="I26">
            <v>88468482.855718672</v>
          </cell>
          <cell r="J26">
            <v>88156226.577000007</v>
          </cell>
          <cell r="K26">
            <v>87806915.740999997</v>
          </cell>
          <cell r="L26">
            <v>88259719.026999995</v>
          </cell>
          <cell r="M26">
            <v>89010757.163000003</v>
          </cell>
          <cell r="N26">
            <v>88721674.910999998</v>
          </cell>
          <cell r="O26">
            <v>89846238.030000001</v>
          </cell>
          <cell r="P26">
            <v>90252852.950000003</v>
          </cell>
          <cell r="Q26">
            <v>91522326.397</v>
          </cell>
          <cell r="R26">
            <v>91626208.274000004</v>
          </cell>
          <cell r="S26">
            <v>93114847.174999997</v>
          </cell>
          <cell r="T26">
            <v>93814746.028999999</v>
          </cell>
          <cell r="U26">
            <v>95274481.324000001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A27" t="str">
            <v>Average assets</v>
          </cell>
          <cell r="B27">
            <v>74574223</v>
          </cell>
          <cell r="C27">
            <v>74285960</v>
          </cell>
          <cell r="D27">
            <v>76568863</v>
          </cell>
          <cell r="E27">
            <v>77992631</v>
          </cell>
          <cell r="F27">
            <v>79898366</v>
          </cell>
          <cell r="G27">
            <v>82975314</v>
          </cell>
          <cell r="H27">
            <v>87054580.414525002</v>
          </cell>
          <cell r="I27">
            <v>88951013.342384338</v>
          </cell>
          <cell r="J27">
            <v>88312354.716359347</v>
          </cell>
          <cell r="K27">
            <v>87981571.159000009</v>
          </cell>
          <cell r="L27">
            <v>88033317.384000003</v>
          </cell>
          <cell r="M27">
            <v>88635238.094999999</v>
          </cell>
          <cell r="N27">
            <v>88866216.037</v>
          </cell>
          <cell r="O27">
            <v>89283956.470499992</v>
          </cell>
          <cell r="P27">
            <v>90049545.49000001</v>
          </cell>
          <cell r="Q27">
            <v>90887589.673500001</v>
          </cell>
          <cell r="R27">
            <v>91574267.335500002</v>
          </cell>
          <cell r="S27">
            <v>92370527.7245</v>
          </cell>
          <cell r="T27">
            <v>93464796.601999998</v>
          </cell>
          <cell r="U27">
            <v>94544613.676499993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A28" t="str">
            <v>Allowance for on-balance sheet</v>
          </cell>
          <cell r="B28">
            <v>825330</v>
          </cell>
          <cell r="C28">
            <v>741005</v>
          </cell>
          <cell r="D28">
            <v>584583</v>
          </cell>
          <cell r="E28">
            <v>610052</v>
          </cell>
          <cell r="F28">
            <v>628704</v>
          </cell>
          <cell r="G28">
            <v>615260</v>
          </cell>
          <cell r="H28">
            <v>542176.44160000002</v>
          </cell>
          <cell r="I28">
            <v>549739.16040000005</v>
          </cell>
          <cell r="J28">
            <v>557759.76650000003</v>
          </cell>
          <cell r="K28">
            <v>566240.48179999995</v>
          </cell>
          <cell r="L28">
            <v>569742.33299999998</v>
          </cell>
          <cell r="M28">
            <v>578458.90469999996</v>
          </cell>
          <cell r="N28">
            <v>589757.80900000001</v>
          </cell>
          <cell r="O28">
            <v>601865.52839999995</v>
          </cell>
          <cell r="P28">
            <v>607706.64780000004</v>
          </cell>
          <cell r="Q28">
            <v>614110.31519999995</v>
          </cell>
          <cell r="R28">
            <v>626558.50249999994</v>
          </cell>
          <cell r="S28">
            <v>638466.00650000002</v>
          </cell>
          <cell r="T28">
            <v>645809.98620000004</v>
          </cell>
          <cell r="U28">
            <v>656299.33010000002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A29" t="str">
            <v>Allowance for off-balance sheet</v>
          </cell>
          <cell r="B29">
            <v>180000</v>
          </cell>
          <cell r="C29">
            <v>170274</v>
          </cell>
          <cell r="D29">
            <v>149641</v>
          </cell>
          <cell r="E29">
            <v>132641</v>
          </cell>
          <cell r="F29">
            <v>127641</v>
          </cell>
          <cell r="G29">
            <v>137641</v>
          </cell>
          <cell r="H29">
            <v>137196</v>
          </cell>
          <cell r="I29">
            <v>148853</v>
          </cell>
          <cell r="J29">
            <v>149325.89367753034</v>
          </cell>
          <cell r="K29">
            <v>152044.41096741243</v>
          </cell>
          <cell r="L29">
            <v>153351.17868777624</v>
          </cell>
          <cell r="M29">
            <v>151514.82238032817</v>
          </cell>
          <cell r="N29">
            <v>152717.26035751315</v>
          </cell>
          <cell r="O29">
            <v>156564.97494566883</v>
          </cell>
          <cell r="P29">
            <v>158901.19997097837</v>
          </cell>
          <cell r="Q29">
            <v>154415.2246752638</v>
          </cell>
          <cell r="R29">
            <v>156039.59215090019</v>
          </cell>
          <cell r="S29">
            <v>158344.33184330259</v>
          </cell>
          <cell r="T29">
            <v>158993.40522550276</v>
          </cell>
          <cell r="U29">
            <v>155803.21836171809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A30" t="str">
            <v>RWA before allowance</v>
          </cell>
          <cell r="B30">
            <v>70000000</v>
          </cell>
          <cell r="C30">
            <v>70000000</v>
          </cell>
          <cell r="D30">
            <v>70000000</v>
          </cell>
          <cell r="E30">
            <v>70538600</v>
          </cell>
          <cell r="F30">
            <v>71368329</v>
          </cell>
          <cell r="G30">
            <v>71905424</v>
          </cell>
          <cell r="H30">
            <v>71699195.630453959</v>
          </cell>
          <cell r="I30">
            <v>71930347.983483613</v>
          </cell>
          <cell r="J30">
            <v>71639351.626256928</v>
          </cell>
          <cell r="K30">
            <v>71936931.502785712</v>
          </cell>
          <cell r="L30">
            <v>72339284.966580242</v>
          </cell>
          <cell r="M30">
            <v>73025583.073704258</v>
          </cell>
          <cell r="N30">
            <v>72670405.666209161</v>
          </cell>
          <cell r="O30">
            <v>73852416.393365204</v>
          </cell>
          <cell r="P30">
            <v>74303355.862745225</v>
          </cell>
          <cell r="Q30">
            <v>75507549.197227478</v>
          </cell>
          <cell r="R30">
            <v>75562895.503529742</v>
          </cell>
          <cell r="S30">
            <v>77000284.148466974</v>
          </cell>
          <cell r="T30">
            <v>77880437.814894989</v>
          </cell>
          <cell r="U30">
            <v>79527681.026589856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A31" t="str">
            <v>Capital actions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AC31">
            <v>0</v>
          </cell>
        </row>
        <row r="32">
          <cell r="A32" t="str">
            <v>Common dividend rate (%)</v>
          </cell>
          <cell r="B32">
            <v>0</v>
          </cell>
          <cell r="C32">
            <v>0</v>
          </cell>
          <cell r="D32">
            <v>0.98292495531786972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A33" t="str">
            <v>Common issuance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A34" t="str">
            <v>5-18 sub debt outstanding</v>
          </cell>
          <cell r="B34">
            <v>497546</v>
          </cell>
          <cell r="C34">
            <v>497669</v>
          </cell>
          <cell r="D34">
            <v>497795</v>
          </cell>
          <cell r="E34">
            <v>497924</v>
          </cell>
          <cell r="F34">
            <v>498055</v>
          </cell>
          <cell r="G34">
            <v>498190</v>
          </cell>
          <cell r="H34">
            <v>498190</v>
          </cell>
          <cell r="I34">
            <v>498190</v>
          </cell>
          <cell r="J34">
            <v>498190</v>
          </cell>
          <cell r="K34">
            <v>498190</v>
          </cell>
          <cell r="L34">
            <v>498190</v>
          </cell>
          <cell r="M34">
            <v>498190</v>
          </cell>
          <cell r="N34">
            <v>498190</v>
          </cell>
          <cell r="O34">
            <v>498190</v>
          </cell>
          <cell r="P34">
            <v>498190</v>
          </cell>
          <cell r="Q34">
            <v>498190</v>
          </cell>
          <cell r="R34">
            <v>498190</v>
          </cell>
          <cell r="S34">
            <v>498190</v>
          </cell>
          <cell r="T34">
            <v>498190</v>
          </cell>
          <cell r="U34">
            <v>498190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A35" t="str">
            <v>Additional bank sub debt issue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600000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E36">
            <v>0</v>
          </cell>
          <cell r="I36">
            <v>0</v>
          </cell>
          <cell r="M36">
            <v>0</v>
          </cell>
          <cell r="Q36">
            <v>0</v>
          </cell>
          <cell r="U36">
            <v>0</v>
          </cell>
          <cell r="Y36">
            <v>0</v>
          </cell>
          <cell r="AC36">
            <v>0</v>
          </cell>
        </row>
      </sheetData>
      <sheetData sheetId="2">
        <row r="17">
          <cell r="B17" t="str">
            <v>Dividend Output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B18" t="str">
            <v>Common Dividends</v>
          </cell>
          <cell r="C18">
            <v>0</v>
          </cell>
          <cell r="D18">
            <v>0</v>
          </cell>
          <cell r="E18">
            <v>78000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</sheetData>
      <sheetData sheetId="3">
        <row r="30">
          <cell r="B30" t="str">
            <v>DTA Output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B31" t="str">
            <v>NOL Deferred tax assets (DTAs), net</v>
          </cell>
          <cell r="C31">
            <v>440000</v>
          </cell>
          <cell r="D31">
            <v>440000</v>
          </cell>
          <cell r="E31">
            <v>440000</v>
          </cell>
          <cell r="F31">
            <v>442148</v>
          </cell>
          <cell r="G31">
            <v>460792</v>
          </cell>
          <cell r="H31">
            <v>465692</v>
          </cell>
          <cell r="I31">
            <v>465692</v>
          </cell>
          <cell r="J31">
            <v>465692</v>
          </cell>
          <cell r="K31">
            <v>465692</v>
          </cell>
          <cell r="L31">
            <v>465692</v>
          </cell>
          <cell r="M31">
            <v>465692</v>
          </cell>
          <cell r="N31">
            <v>465692</v>
          </cell>
          <cell r="O31">
            <v>465692</v>
          </cell>
          <cell r="P31">
            <v>465692</v>
          </cell>
          <cell r="Q31">
            <v>465692</v>
          </cell>
          <cell r="R31">
            <v>465692</v>
          </cell>
          <cell r="S31">
            <v>465692</v>
          </cell>
          <cell r="T31">
            <v>465692</v>
          </cell>
          <cell r="U31">
            <v>465692</v>
          </cell>
          <cell r="V31">
            <v>465692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B32" t="str">
            <v>Other additional tier 1 capital deductions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B33" t="str">
            <v>MSAs, net that exceed 10%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B34" t="str">
            <v>Temporary difference DTAs, net that exceed 10%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B35" t="str">
            <v>Aggregate threshold deductions that exceed 15%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B36" t="str">
            <v>Non-deducted DTA/MSA</v>
          </cell>
          <cell r="C36">
            <v>734775</v>
          </cell>
          <cell r="D36">
            <v>724118</v>
          </cell>
          <cell r="E36">
            <v>731791</v>
          </cell>
          <cell r="F36">
            <v>755821</v>
          </cell>
          <cell r="G36">
            <v>740600</v>
          </cell>
          <cell r="H36">
            <v>745873</v>
          </cell>
          <cell r="I36">
            <v>745873</v>
          </cell>
          <cell r="J36">
            <v>745873</v>
          </cell>
          <cell r="K36">
            <v>745873</v>
          </cell>
          <cell r="L36">
            <v>745873</v>
          </cell>
          <cell r="M36">
            <v>745873</v>
          </cell>
          <cell r="N36">
            <v>745873</v>
          </cell>
          <cell r="O36">
            <v>745873</v>
          </cell>
          <cell r="P36">
            <v>745873</v>
          </cell>
          <cell r="Q36">
            <v>745873</v>
          </cell>
          <cell r="R36">
            <v>745873</v>
          </cell>
          <cell r="S36">
            <v>745873</v>
          </cell>
          <cell r="T36">
            <v>745873</v>
          </cell>
          <cell r="U36">
            <v>745873</v>
          </cell>
          <cell r="V36">
            <v>745873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B37" t="str">
            <v>Aggregate disallowed tax assets</v>
          </cell>
          <cell r="C37">
            <v>440000</v>
          </cell>
          <cell r="D37">
            <v>440000</v>
          </cell>
          <cell r="E37">
            <v>440000</v>
          </cell>
          <cell r="F37">
            <v>442148</v>
          </cell>
          <cell r="G37">
            <v>460792</v>
          </cell>
          <cell r="H37">
            <v>465692</v>
          </cell>
          <cell r="I37">
            <v>465692</v>
          </cell>
          <cell r="J37">
            <v>465692</v>
          </cell>
          <cell r="K37">
            <v>465692</v>
          </cell>
          <cell r="L37">
            <v>465692</v>
          </cell>
          <cell r="M37">
            <v>465692</v>
          </cell>
          <cell r="N37">
            <v>465692</v>
          </cell>
          <cell r="O37">
            <v>465692</v>
          </cell>
          <cell r="P37">
            <v>465692</v>
          </cell>
          <cell r="Q37">
            <v>465692</v>
          </cell>
          <cell r="R37">
            <v>465692</v>
          </cell>
          <cell r="S37">
            <v>465692</v>
          </cell>
          <cell r="T37">
            <v>465692</v>
          </cell>
          <cell r="U37">
            <v>465692</v>
          </cell>
          <cell r="V37">
            <v>465692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</sheetData>
      <sheetData sheetId="4"/>
      <sheetData sheetId="5"/>
      <sheetData sheetId="6"/>
      <sheetData sheetId="7"/>
      <sheetData sheetId="8">
        <row r="2">
          <cell r="B2" t="str">
            <v xml:space="preserve">BHC Baseline </v>
          </cell>
          <cell r="C2">
            <v>41729</v>
          </cell>
          <cell r="D2">
            <v>41820</v>
          </cell>
          <cell r="E2">
            <v>41912</v>
          </cell>
          <cell r="F2">
            <v>42004</v>
          </cell>
          <cell r="G2">
            <v>42094</v>
          </cell>
          <cell r="H2">
            <v>42185</v>
          </cell>
          <cell r="I2">
            <v>42277</v>
          </cell>
          <cell r="J2">
            <v>42369</v>
          </cell>
          <cell r="K2">
            <v>42460</v>
          </cell>
          <cell r="L2">
            <v>42551</v>
          </cell>
          <cell r="M2">
            <v>42643</v>
          </cell>
          <cell r="N2">
            <v>42735</v>
          </cell>
          <cell r="O2">
            <v>42825</v>
          </cell>
          <cell r="P2">
            <v>42916</v>
          </cell>
          <cell r="Q2">
            <v>43008</v>
          </cell>
          <cell r="R2">
            <v>43100</v>
          </cell>
          <cell r="S2">
            <v>43190</v>
          </cell>
          <cell r="T2">
            <v>43281</v>
          </cell>
          <cell r="U2">
            <v>43373</v>
          </cell>
          <cell r="V2">
            <v>43465</v>
          </cell>
          <cell r="W2">
            <v>43555</v>
          </cell>
          <cell r="X2">
            <v>43646</v>
          </cell>
          <cell r="Y2">
            <v>43738</v>
          </cell>
          <cell r="Z2">
            <v>43830</v>
          </cell>
          <cell r="AA2">
            <v>43921</v>
          </cell>
          <cell r="AB2">
            <v>44012</v>
          </cell>
          <cell r="AC2">
            <v>44104</v>
          </cell>
          <cell r="AD2">
            <v>44196</v>
          </cell>
        </row>
        <row r="3">
          <cell r="B3" t="str">
            <v>Balance Sheet Equity</v>
          </cell>
        </row>
        <row r="4">
          <cell r="B4" t="str">
            <v>Common equity (shs,APIC)</v>
          </cell>
          <cell r="C4">
            <v>13311098</v>
          </cell>
          <cell r="D4">
            <v>13311098</v>
          </cell>
          <cell r="E4">
            <v>13311098</v>
          </cell>
          <cell r="F4">
            <v>13311098</v>
          </cell>
          <cell r="G4">
            <v>13311098</v>
          </cell>
          <cell r="H4">
            <v>13311098</v>
          </cell>
          <cell r="I4">
            <v>13311098</v>
          </cell>
          <cell r="J4">
            <v>13311098</v>
          </cell>
          <cell r="K4">
            <v>13311098</v>
          </cell>
          <cell r="L4">
            <v>13311098</v>
          </cell>
          <cell r="M4">
            <v>13311098</v>
          </cell>
          <cell r="N4">
            <v>13311098</v>
          </cell>
          <cell r="O4">
            <v>13311098</v>
          </cell>
          <cell r="P4">
            <v>13311098</v>
          </cell>
          <cell r="Q4">
            <v>13311098</v>
          </cell>
          <cell r="R4">
            <v>13311098</v>
          </cell>
          <cell r="S4">
            <v>13311098</v>
          </cell>
          <cell r="T4">
            <v>13311098</v>
          </cell>
          <cell r="U4">
            <v>13311098</v>
          </cell>
          <cell r="V4">
            <v>13311098</v>
          </cell>
          <cell r="W4">
            <v>13311098</v>
          </cell>
          <cell r="X4">
            <v>13311098</v>
          </cell>
          <cell r="Y4">
            <v>13311098</v>
          </cell>
          <cell r="Z4">
            <v>13311098</v>
          </cell>
          <cell r="AA4">
            <v>13311098</v>
          </cell>
          <cell r="AB4">
            <v>13311098</v>
          </cell>
          <cell r="AC4">
            <v>13311098</v>
          </cell>
          <cell r="AD4">
            <v>13311098</v>
          </cell>
        </row>
        <row r="5">
          <cell r="B5" t="str">
            <v>Retained earnings</v>
          </cell>
          <cell r="C5">
            <v>-238593</v>
          </cell>
          <cell r="D5">
            <v>-159238.01</v>
          </cell>
          <cell r="E5">
            <v>-121465.01000000001</v>
          </cell>
          <cell r="F5">
            <v>-19712.590000000011</v>
          </cell>
          <cell r="G5">
            <v>39034.429999999986</v>
          </cell>
          <cell r="H5">
            <v>137444.78</v>
          </cell>
          <cell r="I5">
            <v>148634.46992593445</v>
          </cell>
          <cell r="J5">
            <v>180561.14846366298</v>
          </cell>
          <cell r="K5">
            <v>207303.75703797204</v>
          </cell>
          <cell r="L5">
            <v>244224.42926435702</v>
          </cell>
          <cell r="M5">
            <v>292447.58060065878</v>
          </cell>
          <cell r="N5">
            <v>356618.65464558243</v>
          </cell>
          <cell r="O5">
            <v>419498.19683814846</v>
          </cell>
          <cell r="P5">
            <v>489727.34576337109</v>
          </cell>
          <cell r="Q5">
            <v>580134.46495649964</v>
          </cell>
          <cell r="R5">
            <v>681048.04398399405</v>
          </cell>
          <cell r="S5">
            <v>784271.22626757144</v>
          </cell>
          <cell r="T5">
            <v>897774.98662474484</v>
          </cell>
          <cell r="U5">
            <v>1030922.5244735065</v>
          </cell>
          <cell r="V5">
            <v>1172256.2490491893</v>
          </cell>
          <cell r="W5">
            <v>1172256.2490491893</v>
          </cell>
          <cell r="X5">
            <v>1172256.2490491893</v>
          </cell>
          <cell r="Y5">
            <v>1172256.2490491893</v>
          </cell>
          <cell r="Z5">
            <v>1172256.2490491893</v>
          </cell>
          <cell r="AA5">
            <v>1172256.2490491893</v>
          </cell>
          <cell r="AB5">
            <v>1172256.2490491893</v>
          </cell>
          <cell r="AC5">
            <v>1172256.2490491893</v>
          </cell>
          <cell r="AD5">
            <v>1172256.2490491893</v>
          </cell>
        </row>
        <row r="6">
          <cell r="B6" t="str">
            <v>Unrealized gain (loss) on AFS securities</v>
          </cell>
          <cell r="C6">
            <v>-116531</v>
          </cell>
          <cell r="D6">
            <v>-70404</v>
          </cell>
          <cell r="E6">
            <v>-88101</v>
          </cell>
          <cell r="F6">
            <v>-52515</v>
          </cell>
          <cell r="G6">
            <v>13475</v>
          </cell>
          <cell r="H6">
            <v>-74758</v>
          </cell>
          <cell r="I6">
            <v>-70440</v>
          </cell>
          <cell r="J6">
            <v>-70440</v>
          </cell>
          <cell r="K6">
            <v>-70440</v>
          </cell>
          <cell r="L6">
            <v>-70440</v>
          </cell>
          <cell r="M6">
            <v>-70440</v>
          </cell>
          <cell r="N6">
            <v>-70440</v>
          </cell>
          <cell r="O6">
            <v>-70440</v>
          </cell>
          <cell r="P6">
            <v>-70440</v>
          </cell>
          <cell r="Q6">
            <v>-70440</v>
          </cell>
          <cell r="R6">
            <v>-70440</v>
          </cell>
          <cell r="S6">
            <v>-70440</v>
          </cell>
          <cell r="T6">
            <v>-70440</v>
          </cell>
          <cell r="U6">
            <v>-70440</v>
          </cell>
          <cell r="V6">
            <v>-70440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</row>
        <row r="7">
          <cell r="B7" t="str">
            <v>Unrealized gain (loss) on CF hedges</v>
          </cell>
          <cell r="C7">
            <v>-31739</v>
          </cell>
          <cell r="D7">
            <v>-28432</v>
          </cell>
          <cell r="E7">
            <v>-19204</v>
          </cell>
          <cell r="F7">
            <v>-16903</v>
          </cell>
          <cell r="G7">
            <v>-19193</v>
          </cell>
          <cell r="H7">
            <v>-15542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B8" t="str">
            <v>Pension actuarial gain (loss)</v>
          </cell>
          <cell r="C8">
            <v>-14991</v>
          </cell>
          <cell r="D8">
            <v>-14718</v>
          </cell>
          <cell r="E8">
            <v>-14446</v>
          </cell>
          <cell r="F8">
            <v>-29635</v>
          </cell>
          <cell r="G8">
            <v>-29020</v>
          </cell>
          <cell r="H8">
            <v>-28583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B9" t="str">
            <v>Accumulated other comprehensive income</v>
          </cell>
          <cell r="C9">
            <v>-163261</v>
          </cell>
          <cell r="D9">
            <v>-113554</v>
          </cell>
          <cell r="E9">
            <v>-121751</v>
          </cell>
          <cell r="F9">
            <v>-99053</v>
          </cell>
          <cell r="G9">
            <v>-34738</v>
          </cell>
          <cell r="H9">
            <v>-118883</v>
          </cell>
          <cell r="I9">
            <v>-70440</v>
          </cell>
          <cell r="J9">
            <v>-70440</v>
          </cell>
          <cell r="K9">
            <v>-70440</v>
          </cell>
          <cell r="L9">
            <v>-70440</v>
          </cell>
          <cell r="M9">
            <v>-70440</v>
          </cell>
          <cell r="N9">
            <v>-70440</v>
          </cell>
          <cell r="O9">
            <v>-70440</v>
          </cell>
          <cell r="P9">
            <v>-70440</v>
          </cell>
          <cell r="Q9">
            <v>-70440</v>
          </cell>
          <cell r="R9">
            <v>-70440</v>
          </cell>
          <cell r="S9">
            <v>-70440</v>
          </cell>
          <cell r="T9">
            <v>-70440</v>
          </cell>
          <cell r="U9">
            <v>-70440</v>
          </cell>
          <cell r="V9">
            <v>-70440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B10" t="str">
            <v>Total shareholders' equity</v>
          </cell>
          <cell r="C10">
            <v>12909244</v>
          </cell>
          <cell r="D10">
            <v>13038305.99</v>
          </cell>
          <cell r="E10">
            <v>13067881.99</v>
          </cell>
          <cell r="F10">
            <v>13192332.41</v>
          </cell>
          <cell r="G10">
            <v>13315394.43</v>
          </cell>
          <cell r="H10">
            <v>13329659.779999999</v>
          </cell>
          <cell r="I10">
            <v>13389292.469925934</v>
          </cell>
          <cell r="J10">
            <v>13421219.148463663</v>
          </cell>
          <cell r="K10">
            <v>13447961.757037971</v>
          </cell>
          <cell r="L10">
            <v>13484882.429264357</v>
          </cell>
          <cell r="M10">
            <v>13533105.580600658</v>
          </cell>
          <cell r="N10">
            <v>13597276.654645583</v>
          </cell>
          <cell r="O10">
            <v>13660156.196838148</v>
          </cell>
          <cell r="P10">
            <v>13730385.34576337</v>
          </cell>
          <cell r="Q10">
            <v>13820792.4649565</v>
          </cell>
          <cell r="R10">
            <v>13921706.043983994</v>
          </cell>
          <cell r="S10">
            <v>14024929.226267571</v>
          </cell>
          <cell r="T10">
            <v>14138432.986624746</v>
          </cell>
          <cell r="U10">
            <v>14271580.524473507</v>
          </cell>
          <cell r="V10">
            <v>14412914.249049189</v>
          </cell>
          <cell r="W10">
            <v>14483354.249049189</v>
          </cell>
          <cell r="X10">
            <v>14483354.249049189</v>
          </cell>
          <cell r="Y10">
            <v>14483354.249049189</v>
          </cell>
          <cell r="Z10">
            <v>14483354.249049189</v>
          </cell>
          <cell r="AA10">
            <v>14483354.249049189</v>
          </cell>
          <cell r="AB10">
            <v>14483354.249049189</v>
          </cell>
          <cell r="AC10">
            <v>14483354.249049189</v>
          </cell>
          <cell r="AD10">
            <v>14483354.249049189</v>
          </cell>
        </row>
        <row r="11">
          <cell r="B11" t="str">
            <v>Regulatory Capital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 t="str">
            <v>Common equity tier 1 before adjustments and deductions</v>
          </cell>
          <cell r="C12">
            <v>12909244</v>
          </cell>
          <cell r="D12">
            <v>13038305.99</v>
          </cell>
          <cell r="E12">
            <v>13067881.99</v>
          </cell>
          <cell r="F12">
            <v>13192332.41</v>
          </cell>
          <cell r="G12">
            <v>13315394.43</v>
          </cell>
          <cell r="H12">
            <v>13329659.779999999</v>
          </cell>
          <cell r="I12">
            <v>13389292.469925934</v>
          </cell>
          <cell r="J12">
            <v>13421219.148463663</v>
          </cell>
          <cell r="K12">
            <v>13447961.757037971</v>
          </cell>
          <cell r="L12">
            <v>13484882.429264357</v>
          </cell>
          <cell r="M12">
            <v>13533105.580600658</v>
          </cell>
          <cell r="N12">
            <v>13597276.654645583</v>
          </cell>
          <cell r="O12">
            <v>13660156.196838148</v>
          </cell>
          <cell r="P12">
            <v>13730385.34576337</v>
          </cell>
          <cell r="Q12">
            <v>13820792.4649565</v>
          </cell>
          <cell r="R12">
            <v>13921706.043983994</v>
          </cell>
          <cell r="S12">
            <v>14024929.226267571</v>
          </cell>
          <cell r="T12">
            <v>14138432.986624746</v>
          </cell>
          <cell r="U12">
            <v>14271580.524473507</v>
          </cell>
          <cell r="V12">
            <v>14412914.249049189</v>
          </cell>
          <cell r="W12">
            <v>14483354.249049189</v>
          </cell>
          <cell r="X12">
            <v>14483354.249049189</v>
          </cell>
          <cell r="Y12">
            <v>14483354.249049189</v>
          </cell>
          <cell r="Z12">
            <v>14483354.249049189</v>
          </cell>
          <cell r="AA12">
            <v>14483354.249049189</v>
          </cell>
          <cell r="AB12">
            <v>14483354.249049189</v>
          </cell>
          <cell r="AC12">
            <v>14483354.249049189</v>
          </cell>
          <cell r="AD12">
            <v>14483354.249049189</v>
          </cell>
        </row>
        <row r="13">
          <cell r="B13" t="str">
            <v>Goodwill deduction</v>
          </cell>
          <cell r="C13">
            <v>-3087094</v>
          </cell>
          <cell r="D13">
            <v>-3081767</v>
          </cell>
          <cell r="E13">
            <v>-3076440</v>
          </cell>
          <cell r="F13">
            <v>-3066202</v>
          </cell>
          <cell r="G13">
            <v>-3060796</v>
          </cell>
          <cell r="H13">
            <v>-3059913</v>
          </cell>
          <cell r="I13">
            <v>-3059913</v>
          </cell>
          <cell r="J13">
            <v>-3059913</v>
          </cell>
          <cell r="K13">
            <v>-3059913</v>
          </cell>
          <cell r="L13">
            <v>-3059913</v>
          </cell>
          <cell r="M13">
            <v>-3059913</v>
          </cell>
          <cell r="N13">
            <v>-3059913</v>
          </cell>
          <cell r="O13">
            <v>-3059913</v>
          </cell>
          <cell r="P13">
            <v>-3059913</v>
          </cell>
          <cell r="Q13">
            <v>-3059913</v>
          </cell>
          <cell r="R13">
            <v>-3059913</v>
          </cell>
          <cell r="S13">
            <v>-3059913</v>
          </cell>
          <cell r="T13">
            <v>-3059913</v>
          </cell>
          <cell r="U13">
            <v>-3059913</v>
          </cell>
          <cell r="V13">
            <v>-3059913</v>
          </cell>
          <cell r="W13">
            <v>-3402637</v>
          </cell>
          <cell r="X13">
            <v>-3402637</v>
          </cell>
          <cell r="Y13">
            <v>-3402637</v>
          </cell>
          <cell r="Z13">
            <v>-3402637</v>
          </cell>
          <cell r="AA13">
            <v>-3402637</v>
          </cell>
          <cell r="AB13">
            <v>-3402637</v>
          </cell>
          <cell r="AC13">
            <v>-3402637</v>
          </cell>
          <cell r="AD13">
            <v>-3402637</v>
          </cell>
        </row>
        <row r="14">
          <cell r="B14" t="str">
            <v>Other intangible deduction</v>
          </cell>
          <cell r="C14">
            <v>-435927</v>
          </cell>
          <cell r="D14">
            <v>-315420</v>
          </cell>
          <cell r="E14">
            <v>-316293</v>
          </cell>
          <cell r="F14">
            <v>-319630</v>
          </cell>
          <cell r="G14">
            <v>-307194</v>
          </cell>
          <cell r="H14">
            <v>-303178</v>
          </cell>
          <cell r="I14">
            <v>-303178</v>
          </cell>
          <cell r="J14">
            <v>-303178</v>
          </cell>
          <cell r="K14">
            <v>-303178</v>
          </cell>
          <cell r="L14">
            <v>-303178</v>
          </cell>
          <cell r="M14">
            <v>-303178</v>
          </cell>
          <cell r="N14">
            <v>-303178</v>
          </cell>
          <cell r="O14">
            <v>-303178</v>
          </cell>
          <cell r="P14">
            <v>-303178</v>
          </cell>
          <cell r="Q14">
            <v>-303178</v>
          </cell>
          <cell r="R14">
            <v>-303178</v>
          </cell>
          <cell r="S14">
            <v>-303178</v>
          </cell>
          <cell r="T14">
            <v>-303178</v>
          </cell>
          <cell r="U14">
            <v>-303178</v>
          </cell>
          <cell r="V14">
            <v>-303178</v>
          </cell>
          <cell r="W14">
            <v>-306482</v>
          </cell>
          <cell r="X14">
            <v>-306482</v>
          </cell>
          <cell r="Y14">
            <v>-306482</v>
          </cell>
          <cell r="Z14">
            <v>-306482</v>
          </cell>
          <cell r="AA14">
            <v>-306482</v>
          </cell>
          <cell r="AB14">
            <v>-306482</v>
          </cell>
          <cell r="AC14">
            <v>-306482</v>
          </cell>
          <cell r="AD14">
            <v>-306482</v>
          </cell>
        </row>
        <row r="15">
          <cell r="B15" t="str">
            <v>NOL Deferred tax assets (DTAs), net</v>
          </cell>
          <cell r="C15">
            <v>-440000</v>
          </cell>
          <cell r="D15">
            <v>-440000</v>
          </cell>
          <cell r="E15">
            <v>-440000</v>
          </cell>
          <cell r="F15">
            <v>-442148</v>
          </cell>
          <cell r="G15">
            <v>-460792</v>
          </cell>
          <cell r="H15">
            <v>-465692</v>
          </cell>
          <cell r="I15">
            <v>-465692</v>
          </cell>
          <cell r="J15">
            <v>-465692</v>
          </cell>
          <cell r="K15">
            <v>-465692</v>
          </cell>
          <cell r="L15">
            <v>-465692</v>
          </cell>
          <cell r="M15">
            <v>-465692</v>
          </cell>
          <cell r="N15">
            <v>-465692</v>
          </cell>
          <cell r="O15">
            <v>-465692</v>
          </cell>
          <cell r="P15">
            <v>-465692</v>
          </cell>
          <cell r="Q15">
            <v>-465692</v>
          </cell>
          <cell r="R15">
            <v>-465692</v>
          </cell>
          <cell r="S15">
            <v>-465692</v>
          </cell>
          <cell r="T15">
            <v>-465692</v>
          </cell>
          <cell r="U15">
            <v>-465692</v>
          </cell>
          <cell r="V15">
            <v>-465692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B16" t="str">
            <v>AOCI related adjustments</v>
          </cell>
          <cell r="C16">
            <v>163261</v>
          </cell>
          <cell r="D16">
            <v>113554</v>
          </cell>
          <cell r="E16">
            <v>121751</v>
          </cell>
          <cell r="F16">
            <v>99053</v>
          </cell>
          <cell r="G16">
            <v>34738</v>
          </cell>
          <cell r="H16">
            <v>118883</v>
          </cell>
          <cell r="I16">
            <v>70440</v>
          </cell>
          <cell r="J16">
            <v>70440</v>
          </cell>
          <cell r="K16">
            <v>70440</v>
          </cell>
          <cell r="L16">
            <v>70440</v>
          </cell>
          <cell r="M16">
            <v>70440</v>
          </cell>
          <cell r="N16">
            <v>70440</v>
          </cell>
          <cell r="O16">
            <v>70440</v>
          </cell>
          <cell r="P16">
            <v>70440</v>
          </cell>
          <cell r="Q16">
            <v>70440</v>
          </cell>
          <cell r="R16">
            <v>70440</v>
          </cell>
          <cell r="S16">
            <v>70440</v>
          </cell>
          <cell r="T16">
            <v>70440</v>
          </cell>
          <cell r="U16">
            <v>70440</v>
          </cell>
          <cell r="V16">
            <v>70440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B17" t="str">
            <v>Unrealized losses on equity securities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-211</v>
          </cell>
          <cell r="H17">
            <v>-345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B18" t="str">
            <v>CET1 Subtotal</v>
          </cell>
          <cell r="C18">
            <v>9109484</v>
          </cell>
          <cell r="D18">
            <v>9314672.9900000002</v>
          </cell>
          <cell r="E18">
            <v>9356899.9900000002</v>
          </cell>
          <cell r="F18">
            <v>9463405.4100000001</v>
          </cell>
          <cell r="G18">
            <v>9521139.4299999997</v>
          </cell>
          <cell r="H18">
            <v>9619414.7799999993</v>
          </cell>
          <cell r="I18">
            <v>9630949.4699259344</v>
          </cell>
          <cell r="J18">
            <v>9662876.1484636627</v>
          </cell>
          <cell r="K18">
            <v>9689618.7570379712</v>
          </cell>
          <cell r="L18">
            <v>9726539.4292643573</v>
          </cell>
          <cell r="M18">
            <v>9774762.5806006584</v>
          </cell>
          <cell r="N18">
            <v>9838933.6546455827</v>
          </cell>
          <cell r="O18">
            <v>9901813.1968381479</v>
          </cell>
          <cell r="P18">
            <v>9972042.3457633704</v>
          </cell>
          <cell r="Q18">
            <v>10062449.4649565</v>
          </cell>
          <cell r="R18">
            <v>10163363.043983994</v>
          </cell>
          <cell r="S18">
            <v>10266586.226267571</v>
          </cell>
          <cell r="T18">
            <v>10380089.986624746</v>
          </cell>
          <cell r="U18">
            <v>10513237.524473507</v>
          </cell>
          <cell r="V18">
            <v>10654571.249049189</v>
          </cell>
          <cell r="W18">
            <v>10774235.249049189</v>
          </cell>
          <cell r="X18">
            <v>10774235.249049189</v>
          </cell>
          <cell r="Y18">
            <v>10774235.249049189</v>
          </cell>
          <cell r="Z18">
            <v>10774235.249049189</v>
          </cell>
          <cell r="AA18">
            <v>10774235.249049189</v>
          </cell>
          <cell r="AB18">
            <v>10774235.249049189</v>
          </cell>
          <cell r="AC18">
            <v>10774235.249049189</v>
          </cell>
          <cell r="AD18">
            <v>10774235.249049189</v>
          </cell>
        </row>
        <row r="19">
          <cell r="B19" t="str">
            <v>MSAs, net that exceed 10%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B20" t="str">
            <v>Temporary difference DTAs, net that exceed 10%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B21" t="str">
            <v>Aggregate threshold deductions that exceed 15%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B22" t="str">
            <v>Other CET1 deductions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B23" t="str">
            <v>Common equity tier 1 capital</v>
          </cell>
          <cell r="C23">
            <v>9109484</v>
          </cell>
          <cell r="D23">
            <v>9314672.9900000002</v>
          </cell>
          <cell r="E23">
            <v>9356899.9900000002</v>
          </cell>
          <cell r="F23">
            <v>9463405.4100000001</v>
          </cell>
          <cell r="G23">
            <v>9521139.4299999997</v>
          </cell>
          <cell r="H23">
            <v>9619414.7799999993</v>
          </cell>
          <cell r="I23">
            <v>9630949.4699259344</v>
          </cell>
          <cell r="J23">
            <v>9662876.1484636627</v>
          </cell>
          <cell r="K23">
            <v>9689618.7570379712</v>
          </cell>
          <cell r="L23">
            <v>9726539.4292643573</v>
          </cell>
          <cell r="M23">
            <v>9774762.5806006584</v>
          </cell>
          <cell r="N23">
            <v>9838933.6546455827</v>
          </cell>
          <cell r="O23">
            <v>9901813.1968381479</v>
          </cell>
          <cell r="P23">
            <v>9972042.3457633704</v>
          </cell>
          <cell r="Q23">
            <v>10062449.4649565</v>
          </cell>
          <cell r="R23">
            <v>10163363.043983994</v>
          </cell>
          <cell r="S23">
            <v>10266586.226267571</v>
          </cell>
          <cell r="T23">
            <v>10380089.986624746</v>
          </cell>
          <cell r="U23">
            <v>10513237.524473507</v>
          </cell>
          <cell r="V23">
            <v>10654571.249049189</v>
          </cell>
          <cell r="W23">
            <v>10774235.249049189</v>
          </cell>
          <cell r="X23">
            <v>10774235.249049189</v>
          </cell>
          <cell r="Y23">
            <v>10774235.249049189</v>
          </cell>
          <cell r="Z23">
            <v>10774235.249049189</v>
          </cell>
          <cell r="AA23">
            <v>10774235.249049189</v>
          </cell>
          <cell r="AB23">
            <v>10774235.249049189</v>
          </cell>
          <cell r="AC23">
            <v>10774235.249049189</v>
          </cell>
          <cell r="AD23">
            <v>10774235.249049189</v>
          </cell>
        </row>
        <row r="24">
          <cell r="B24" t="str">
            <v>Other additional tier 1 capital deductions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B25" t="str">
            <v>Additional tier 1 capital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B26" t="str">
            <v>Tier 1 capital</v>
          </cell>
          <cell r="C26">
            <v>9109484</v>
          </cell>
          <cell r="D26">
            <v>9314672.9900000002</v>
          </cell>
          <cell r="E26">
            <v>9356899.9900000002</v>
          </cell>
          <cell r="F26">
            <v>9463405.4100000001</v>
          </cell>
          <cell r="G26">
            <v>9521139.4299999997</v>
          </cell>
          <cell r="H26">
            <v>9619414.7799999993</v>
          </cell>
          <cell r="I26">
            <v>9630949.4699259344</v>
          </cell>
          <cell r="J26">
            <v>9662876.1484636627</v>
          </cell>
          <cell r="K26">
            <v>9689618.7570379712</v>
          </cell>
          <cell r="L26">
            <v>9726539.4292643573</v>
          </cell>
          <cell r="M26">
            <v>9774762.5806006584</v>
          </cell>
          <cell r="N26">
            <v>9838933.6546455827</v>
          </cell>
          <cell r="O26">
            <v>9901813.1968381479</v>
          </cell>
          <cell r="P26">
            <v>9972042.3457633704</v>
          </cell>
          <cell r="Q26">
            <v>10062449.4649565</v>
          </cell>
          <cell r="R26">
            <v>10163363.043983994</v>
          </cell>
          <cell r="S26">
            <v>10266586.226267571</v>
          </cell>
          <cell r="T26">
            <v>10380089.986624746</v>
          </cell>
          <cell r="U26">
            <v>10513237.524473507</v>
          </cell>
          <cell r="V26">
            <v>10654571.249049189</v>
          </cell>
          <cell r="W26">
            <v>10774235.249049189</v>
          </cell>
          <cell r="X26">
            <v>10774235.249049189</v>
          </cell>
          <cell r="Y26">
            <v>10774235.249049189</v>
          </cell>
          <cell r="Z26">
            <v>10774235.249049189</v>
          </cell>
          <cell r="AA26">
            <v>10774235.249049189</v>
          </cell>
          <cell r="AB26">
            <v>10774235.249049189</v>
          </cell>
          <cell r="AC26">
            <v>10774235.249049189</v>
          </cell>
          <cell r="AD26">
            <v>10774235.249049189</v>
          </cell>
        </row>
        <row r="27">
          <cell r="B27" t="str">
            <v>Tier 2 capital instruments plus related surplus</v>
          </cell>
          <cell r="C27">
            <v>398036.80000000005</v>
          </cell>
          <cell r="D27">
            <v>298601.39999999997</v>
          </cell>
          <cell r="E27">
            <v>298677</v>
          </cell>
          <cell r="F27">
            <v>298754.39999999997</v>
          </cell>
          <cell r="G27">
            <v>298833</v>
          </cell>
          <cell r="H27">
            <v>199276</v>
          </cell>
          <cell r="I27">
            <v>199276</v>
          </cell>
          <cell r="J27">
            <v>799276</v>
          </cell>
          <cell r="K27">
            <v>799276</v>
          </cell>
          <cell r="L27">
            <v>699638</v>
          </cell>
          <cell r="M27">
            <v>699638</v>
          </cell>
          <cell r="N27">
            <v>699638</v>
          </cell>
          <cell r="O27">
            <v>699638</v>
          </cell>
          <cell r="P27">
            <v>600000</v>
          </cell>
          <cell r="Q27">
            <v>600000</v>
          </cell>
          <cell r="R27">
            <v>600000</v>
          </cell>
          <cell r="S27">
            <v>600000</v>
          </cell>
          <cell r="T27">
            <v>600000</v>
          </cell>
          <cell r="U27">
            <v>600000</v>
          </cell>
          <cell r="V27">
            <v>600000</v>
          </cell>
          <cell r="W27">
            <v>600000</v>
          </cell>
          <cell r="X27">
            <v>600000</v>
          </cell>
          <cell r="Y27">
            <v>600000</v>
          </cell>
          <cell r="Z27">
            <v>600000</v>
          </cell>
          <cell r="AA27">
            <v>600000</v>
          </cell>
          <cell r="AB27">
            <v>600000</v>
          </cell>
          <cell r="AC27">
            <v>600000</v>
          </cell>
          <cell r="AD27">
            <v>600000</v>
          </cell>
        </row>
        <row r="28">
          <cell r="B28" t="str">
            <v>Allowance for loan and lease losses</v>
          </cell>
          <cell r="C28">
            <v>875000</v>
          </cell>
          <cell r="D28">
            <v>875000</v>
          </cell>
          <cell r="E28">
            <v>734224</v>
          </cell>
          <cell r="F28">
            <v>742693</v>
          </cell>
          <cell r="G28">
            <v>756345</v>
          </cell>
          <cell r="H28">
            <v>752901</v>
          </cell>
          <cell r="I28">
            <v>679372.44160000002</v>
          </cell>
          <cell r="J28">
            <v>698592.16040000005</v>
          </cell>
          <cell r="K28">
            <v>707085.66017753037</v>
          </cell>
          <cell r="L28">
            <v>718284.89276741236</v>
          </cell>
          <cell r="M28">
            <v>723093.51168777619</v>
          </cell>
          <cell r="N28">
            <v>729973.72708032816</v>
          </cell>
          <cell r="O28">
            <v>742475.06935751322</v>
          </cell>
          <cell r="P28">
            <v>758430.50334566878</v>
          </cell>
          <cell r="Q28">
            <v>766607.84777097846</v>
          </cell>
          <cell r="R28">
            <v>768525.53987526381</v>
          </cell>
          <cell r="S28">
            <v>782598.09465090011</v>
          </cell>
          <cell r="T28">
            <v>796810.3383433026</v>
          </cell>
          <cell r="U28">
            <v>804803.39142550284</v>
          </cell>
          <cell r="V28">
            <v>812102.54846171814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B29" t="str">
            <v>Unrealized gains available-for-sale equity exposures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B30" t="str">
            <v>Tier 2 capital deductions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B31" t="str">
            <v>Tier 2 capital</v>
          </cell>
          <cell r="C31">
            <v>1273036.8</v>
          </cell>
          <cell r="D31">
            <v>1173601.3999999999</v>
          </cell>
          <cell r="E31">
            <v>1032901</v>
          </cell>
          <cell r="F31">
            <v>1041447.3999999999</v>
          </cell>
          <cell r="G31">
            <v>1055178</v>
          </cell>
          <cell r="H31">
            <v>952177</v>
          </cell>
          <cell r="I31">
            <v>878648.44160000002</v>
          </cell>
          <cell r="J31">
            <v>1497868.1603999999</v>
          </cell>
          <cell r="K31">
            <v>1506361.6601775303</v>
          </cell>
          <cell r="L31">
            <v>1417922.8927674124</v>
          </cell>
          <cell r="M31">
            <v>1422731.5116877761</v>
          </cell>
          <cell r="N31">
            <v>1429611.7270803282</v>
          </cell>
          <cell r="O31">
            <v>1442113.0693575132</v>
          </cell>
          <cell r="P31">
            <v>1358430.5033456688</v>
          </cell>
          <cell r="Q31">
            <v>1366607.8477709785</v>
          </cell>
          <cell r="R31">
            <v>1368525.5398752638</v>
          </cell>
          <cell r="S31">
            <v>1382598.0946509</v>
          </cell>
          <cell r="T31">
            <v>1396810.3383433027</v>
          </cell>
          <cell r="U31">
            <v>1404803.391425503</v>
          </cell>
          <cell r="V31">
            <v>1412102.548461718</v>
          </cell>
          <cell r="W31">
            <v>600000</v>
          </cell>
          <cell r="X31">
            <v>600000</v>
          </cell>
          <cell r="Y31">
            <v>600000</v>
          </cell>
          <cell r="Z31">
            <v>600000</v>
          </cell>
          <cell r="AA31">
            <v>600000</v>
          </cell>
          <cell r="AB31">
            <v>600000</v>
          </cell>
          <cell r="AC31">
            <v>600000</v>
          </cell>
          <cell r="AD31">
            <v>600000</v>
          </cell>
        </row>
        <row r="32">
          <cell r="B32" t="str">
            <v>Total capital</v>
          </cell>
          <cell r="C32">
            <v>10382520.800000001</v>
          </cell>
          <cell r="D32">
            <v>10488274.390000001</v>
          </cell>
          <cell r="E32">
            <v>10389800.99</v>
          </cell>
          <cell r="F32">
            <v>10504852.810000001</v>
          </cell>
          <cell r="G32">
            <v>10576317.43</v>
          </cell>
          <cell r="H32">
            <v>10571591.779999999</v>
          </cell>
          <cell r="I32">
            <v>10509597.911525935</v>
          </cell>
          <cell r="J32">
            <v>11160744.308863662</v>
          </cell>
          <cell r="K32">
            <v>11195980.417215502</v>
          </cell>
          <cell r="L32">
            <v>11144462.32203177</v>
          </cell>
          <cell r="M32">
            <v>11197494.092288435</v>
          </cell>
          <cell r="N32">
            <v>11268545.381725911</v>
          </cell>
          <cell r="O32">
            <v>11343926.26619566</v>
          </cell>
          <cell r="P32">
            <v>11330472.849109039</v>
          </cell>
          <cell r="Q32">
            <v>11429057.312727477</v>
          </cell>
          <cell r="R32">
            <v>11531888.583859257</v>
          </cell>
          <cell r="S32">
            <v>11649184.320918471</v>
          </cell>
          <cell r="T32">
            <v>11776900.324968047</v>
          </cell>
          <cell r="U32">
            <v>11918040.91589901</v>
          </cell>
          <cell r="V32">
            <v>12066673.797510907</v>
          </cell>
          <cell r="W32">
            <v>11374235.249049189</v>
          </cell>
          <cell r="X32">
            <v>11374235.249049189</v>
          </cell>
          <cell r="Y32">
            <v>11374235.249049189</v>
          </cell>
          <cell r="Z32">
            <v>11374235.249049189</v>
          </cell>
          <cell r="AA32">
            <v>11374235.249049189</v>
          </cell>
          <cell r="AB32">
            <v>11374235.249049189</v>
          </cell>
          <cell r="AC32">
            <v>11374235.249049189</v>
          </cell>
          <cell r="AD32">
            <v>11374235.249049189</v>
          </cell>
        </row>
        <row r="33">
          <cell r="B33" t="str">
            <v>Tangible equity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</row>
        <row r="34">
          <cell r="B34" t="str">
            <v>Common shareholders' equity</v>
          </cell>
          <cell r="C34">
            <v>12909244</v>
          </cell>
          <cell r="D34">
            <v>13038305.99</v>
          </cell>
          <cell r="E34">
            <v>13067881.99</v>
          </cell>
          <cell r="F34">
            <v>13192332.41</v>
          </cell>
          <cell r="G34">
            <v>13315394.43</v>
          </cell>
          <cell r="H34">
            <v>13329659.779999999</v>
          </cell>
          <cell r="I34">
            <v>13389292.469925934</v>
          </cell>
          <cell r="J34">
            <v>13421219.148463663</v>
          </cell>
          <cell r="K34">
            <v>13447961.757037971</v>
          </cell>
          <cell r="L34">
            <v>13484882.429264357</v>
          </cell>
          <cell r="M34">
            <v>13533105.580600658</v>
          </cell>
          <cell r="N34">
            <v>13597276.654645583</v>
          </cell>
          <cell r="O34">
            <v>13660156.196838148</v>
          </cell>
          <cell r="P34">
            <v>13730385.34576337</v>
          </cell>
          <cell r="Q34">
            <v>13820792.4649565</v>
          </cell>
          <cell r="R34">
            <v>13921706.043983994</v>
          </cell>
          <cell r="S34">
            <v>14024929.226267571</v>
          </cell>
          <cell r="T34">
            <v>14138432.986624746</v>
          </cell>
          <cell r="U34">
            <v>14271580.524473507</v>
          </cell>
          <cell r="V34">
            <v>14412914.249049189</v>
          </cell>
          <cell r="W34">
            <v>14483354.249049189</v>
          </cell>
          <cell r="X34">
            <v>14483354.249049189</v>
          </cell>
          <cell r="Y34">
            <v>14483354.249049189</v>
          </cell>
          <cell r="Z34">
            <v>14483354.249049189</v>
          </cell>
          <cell r="AA34">
            <v>14483354.249049189</v>
          </cell>
          <cell r="AB34">
            <v>14483354.249049189</v>
          </cell>
          <cell r="AC34">
            <v>14483354.249049189</v>
          </cell>
          <cell r="AD34">
            <v>14483354.249049189</v>
          </cell>
        </row>
        <row r="35">
          <cell r="B35" t="str">
            <v>Less: Goodwill and intangibles</v>
          </cell>
          <cell r="C35">
            <v>-3523021</v>
          </cell>
          <cell r="D35">
            <v>-3397187</v>
          </cell>
          <cell r="E35">
            <v>-3392733</v>
          </cell>
          <cell r="F35">
            <v>-3385832</v>
          </cell>
          <cell r="G35">
            <v>-3367990</v>
          </cell>
          <cell r="H35">
            <v>-3363091</v>
          </cell>
          <cell r="I35">
            <v>-3363091</v>
          </cell>
          <cell r="J35">
            <v>-3363091</v>
          </cell>
          <cell r="K35">
            <v>-3363091</v>
          </cell>
          <cell r="L35">
            <v>-3363091</v>
          </cell>
          <cell r="M35">
            <v>-3363091</v>
          </cell>
          <cell r="N35">
            <v>-3363091</v>
          </cell>
          <cell r="O35">
            <v>-3363091</v>
          </cell>
          <cell r="P35">
            <v>-3363091</v>
          </cell>
          <cell r="Q35">
            <v>-3363091</v>
          </cell>
          <cell r="R35">
            <v>-3363091</v>
          </cell>
          <cell r="S35">
            <v>-3363091</v>
          </cell>
          <cell r="T35">
            <v>-3363091</v>
          </cell>
          <cell r="U35">
            <v>-3363091</v>
          </cell>
          <cell r="V35">
            <v>-3363091</v>
          </cell>
          <cell r="W35">
            <v>-3709119</v>
          </cell>
          <cell r="X35">
            <v>-3709119</v>
          </cell>
          <cell r="Y35">
            <v>-3709119</v>
          </cell>
          <cell r="Z35">
            <v>-3709119</v>
          </cell>
          <cell r="AA35">
            <v>-3709119</v>
          </cell>
          <cell r="AB35">
            <v>-3709119</v>
          </cell>
          <cell r="AC35">
            <v>-3709119</v>
          </cell>
          <cell r="AD35">
            <v>-3709119</v>
          </cell>
        </row>
        <row r="36">
          <cell r="B36" t="str">
            <v>Tangible common equity</v>
          </cell>
          <cell r="C36">
            <v>9386223</v>
          </cell>
          <cell r="D36">
            <v>9641118.9900000002</v>
          </cell>
          <cell r="E36">
            <v>9675148.9900000002</v>
          </cell>
          <cell r="F36">
            <v>9806500.4100000001</v>
          </cell>
          <cell r="G36">
            <v>9947404.4299999997</v>
          </cell>
          <cell r="H36">
            <v>9966568.7799999993</v>
          </cell>
          <cell r="I36">
            <v>10026201.469925934</v>
          </cell>
          <cell r="J36">
            <v>10058128.148463663</v>
          </cell>
          <cell r="K36">
            <v>10084870.757037971</v>
          </cell>
          <cell r="L36">
            <v>10121791.429264357</v>
          </cell>
          <cell r="M36">
            <v>10170014.580600658</v>
          </cell>
          <cell r="N36">
            <v>10234185.654645583</v>
          </cell>
          <cell r="O36">
            <v>10297065.196838148</v>
          </cell>
          <cell r="P36">
            <v>10367294.34576337</v>
          </cell>
          <cell r="Q36">
            <v>10457701.4649565</v>
          </cell>
          <cell r="R36">
            <v>10558615.043983994</v>
          </cell>
          <cell r="S36">
            <v>10661838.226267571</v>
          </cell>
          <cell r="T36">
            <v>10775341.986624746</v>
          </cell>
          <cell r="U36">
            <v>10908489.524473507</v>
          </cell>
          <cell r="V36">
            <v>11049823.249049189</v>
          </cell>
          <cell r="W36">
            <v>10774235.249049189</v>
          </cell>
          <cell r="X36">
            <v>10774235.249049189</v>
          </cell>
          <cell r="Y36">
            <v>10774235.249049189</v>
          </cell>
          <cell r="Z36">
            <v>10774235.249049189</v>
          </cell>
          <cell r="AA36">
            <v>10774235.249049189</v>
          </cell>
          <cell r="AB36">
            <v>10774235.249049189</v>
          </cell>
          <cell r="AC36">
            <v>10774235.249049189</v>
          </cell>
          <cell r="AD36">
            <v>10774235.249049189</v>
          </cell>
        </row>
        <row r="37">
          <cell r="B37" t="str">
            <v>Tangible assets calc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</row>
        <row r="38">
          <cell r="B38" t="str">
            <v>Total assets</v>
          </cell>
          <cell r="C38">
            <v>74819276</v>
          </cell>
          <cell r="D38">
            <v>77251104</v>
          </cell>
          <cell r="E38">
            <v>77335367</v>
          </cell>
          <cell r="F38">
            <v>80472892</v>
          </cell>
          <cell r="G38">
            <v>83077152</v>
          </cell>
          <cell r="H38">
            <v>84675617</v>
          </cell>
          <cell r="I38">
            <v>89433543.82904999</v>
          </cell>
          <cell r="J38">
            <v>88468482.855718672</v>
          </cell>
          <cell r="K38">
            <v>88156226.577000007</v>
          </cell>
          <cell r="L38">
            <v>87806915.740999997</v>
          </cell>
          <cell r="M38">
            <v>88259719.026999995</v>
          </cell>
          <cell r="N38">
            <v>89010757.163000003</v>
          </cell>
          <cell r="O38">
            <v>88721674.910999998</v>
          </cell>
          <cell r="P38">
            <v>89846238.030000001</v>
          </cell>
          <cell r="Q38">
            <v>90252852.950000003</v>
          </cell>
          <cell r="R38">
            <v>91522326.397</v>
          </cell>
          <cell r="S38">
            <v>91626208.274000004</v>
          </cell>
          <cell r="T38">
            <v>93114847.174999997</v>
          </cell>
          <cell r="U38">
            <v>93814746.028999999</v>
          </cell>
          <cell r="V38">
            <v>95274481.324000001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B39" t="str">
            <v>Gross intangibles recognized in assets</v>
          </cell>
          <cell r="C39">
            <v>-3848237</v>
          </cell>
          <cell r="D39">
            <v>-3726012</v>
          </cell>
          <cell r="E39">
            <v>-3725458</v>
          </cell>
          <cell r="F39">
            <v>-3727625</v>
          </cell>
          <cell r="G39">
            <v>-3714095</v>
          </cell>
          <cell r="H39">
            <v>-3709119</v>
          </cell>
          <cell r="I39">
            <v>-3709119</v>
          </cell>
          <cell r="J39">
            <v>-3709119</v>
          </cell>
          <cell r="K39">
            <v>-3709119</v>
          </cell>
          <cell r="L39">
            <v>-3709119</v>
          </cell>
          <cell r="M39">
            <v>-3709119</v>
          </cell>
          <cell r="N39">
            <v>-3709119</v>
          </cell>
          <cell r="O39">
            <v>-3709119</v>
          </cell>
          <cell r="P39">
            <v>-3709119</v>
          </cell>
          <cell r="Q39">
            <v>-3709119</v>
          </cell>
          <cell r="R39">
            <v>-3709119</v>
          </cell>
          <cell r="S39">
            <v>-3709119</v>
          </cell>
          <cell r="T39">
            <v>-3709119</v>
          </cell>
          <cell r="U39">
            <v>-3709119</v>
          </cell>
          <cell r="V39">
            <v>-3709119</v>
          </cell>
          <cell r="W39">
            <v>-3709119</v>
          </cell>
          <cell r="X39">
            <v>-3709119</v>
          </cell>
          <cell r="Y39">
            <v>-3709119</v>
          </cell>
          <cell r="Z39">
            <v>-3709119</v>
          </cell>
          <cell r="AA39">
            <v>-3709119</v>
          </cell>
          <cell r="AB39">
            <v>-3709119</v>
          </cell>
          <cell r="AC39">
            <v>-3709119</v>
          </cell>
          <cell r="AD39">
            <v>-3709119</v>
          </cell>
        </row>
        <row r="40">
          <cell r="B40" t="str">
            <v>Tangible assets</v>
          </cell>
          <cell r="C40">
            <v>70971039</v>
          </cell>
          <cell r="D40">
            <v>73525092</v>
          </cell>
          <cell r="E40">
            <v>73609909</v>
          </cell>
          <cell r="F40">
            <v>76745267</v>
          </cell>
          <cell r="G40">
            <v>79363057</v>
          </cell>
          <cell r="H40">
            <v>80966498</v>
          </cell>
          <cell r="I40">
            <v>85724424.82904999</v>
          </cell>
          <cell r="J40">
            <v>84759363.855718672</v>
          </cell>
          <cell r="K40">
            <v>84447107.577000007</v>
          </cell>
          <cell r="L40">
            <v>84097796.740999997</v>
          </cell>
          <cell r="M40">
            <v>84550600.026999995</v>
          </cell>
          <cell r="N40">
            <v>85301638.163000003</v>
          </cell>
          <cell r="O40">
            <v>85012555.910999998</v>
          </cell>
          <cell r="P40">
            <v>86137119.030000001</v>
          </cell>
          <cell r="Q40">
            <v>86543733.950000003</v>
          </cell>
          <cell r="R40">
            <v>87813207.397</v>
          </cell>
          <cell r="S40">
            <v>87917089.274000004</v>
          </cell>
          <cell r="T40">
            <v>89405728.174999997</v>
          </cell>
          <cell r="U40">
            <v>90105627.028999999</v>
          </cell>
          <cell r="V40">
            <v>91565362.324000001</v>
          </cell>
          <cell r="W40">
            <v>-3709119</v>
          </cell>
          <cell r="X40">
            <v>-3709119</v>
          </cell>
          <cell r="Y40">
            <v>-3709119</v>
          </cell>
          <cell r="Z40">
            <v>-3709119</v>
          </cell>
          <cell r="AA40">
            <v>-3709119</v>
          </cell>
          <cell r="AB40">
            <v>-3709119</v>
          </cell>
          <cell r="AC40">
            <v>-3709119</v>
          </cell>
          <cell r="AD40">
            <v>-3709119</v>
          </cell>
        </row>
        <row r="41">
          <cell r="B41" t="str">
            <v>Total assets for the leverage ratio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</row>
        <row r="42">
          <cell r="B42" t="str">
            <v>Average assets</v>
          </cell>
          <cell r="C42">
            <v>74574223</v>
          </cell>
          <cell r="D42">
            <v>74285960</v>
          </cell>
          <cell r="E42">
            <v>76568863</v>
          </cell>
          <cell r="F42">
            <v>77992631</v>
          </cell>
          <cell r="G42">
            <v>79898366</v>
          </cell>
          <cell r="H42">
            <v>82975314</v>
          </cell>
          <cell r="I42">
            <v>87054580.414525002</v>
          </cell>
          <cell r="J42">
            <v>88951013.342384338</v>
          </cell>
          <cell r="K42">
            <v>88312354.716359347</v>
          </cell>
          <cell r="L42">
            <v>87981571.159000009</v>
          </cell>
          <cell r="M42">
            <v>88033317.384000003</v>
          </cell>
          <cell r="N42">
            <v>88635238.094999999</v>
          </cell>
          <cell r="O42">
            <v>88866216.037</v>
          </cell>
          <cell r="P42">
            <v>89283956.470499992</v>
          </cell>
          <cell r="Q42">
            <v>90049545.49000001</v>
          </cell>
          <cell r="R42">
            <v>90887589.673500001</v>
          </cell>
          <cell r="S42">
            <v>91574267.335500002</v>
          </cell>
          <cell r="T42">
            <v>92370527.7245</v>
          </cell>
          <cell r="U42">
            <v>93464796.601999998</v>
          </cell>
          <cell r="V42">
            <v>94544613.676499993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B43" t="str">
            <v>Deductions from common equity tier 1 capital and additional tier 1 capital</v>
          </cell>
          <cell r="C43">
            <v>-3963021</v>
          </cell>
          <cell r="D43">
            <v>-3837187</v>
          </cell>
          <cell r="E43">
            <v>-3832733</v>
          </cell>
          <cell r="F43">
            <v>-3827980</v>
          </cell>
          <cell r="G43">
            <v>-3828782</v>
          </cell>
          <cell r="H43">
            <v>-3828783</v>
          </cell>
          <cell r="I43">
            <v>-3828783</v>
          </cell>
          <cell r="J43">
            <v>-3828783</v>
          </cell>
          <cell r="K43">
            <v>-3828783</v>
          </cell>
          <cell r="L43">
            <v>-3828783</v>
          </cell>
          <cell r="M43">
            <v>-3828783</v>
          </cell>
          <cell r="N43">
            <v>-3828783</v>
          </cell>
          <cell r="O43">
            <v>-3828783</v>
          </cell>
          <cell r="P43">
            <v>-3828783</v>
          </cell>
          <cell r="Q43">
            <v>-3828783</v>
          </cell>
          <cell r="R43">
            <v>-3828783</v>
          </cell>
          <cell r="S43">
            <v>-3828783</v>
          </cell>
          <cell r="T43">
            <v>-3828783</v>
          </cell>
          <cell r="U43">
            <v>-3828783</v>
          </cell>
          <cell r="V43">
            <v>-3828783</v>
          </cell>
          <cell r="W43">
            <v>-3709119</v>
          </cell>
          <cell r="X43">
            <v>-3709119</v>
          </cell>
          <cell r="Y43">
            <v>-3709119</v>
          </cell>
          <cell r="Z43">
            <v>-3709119</v>
          </cell>
          <cell r="AA43">
            <v>-3709119</v>
          </cell>
          <cell r="AB43">
            <v>-3709119</v>
          </cell>
          <cell r="AC43">
            <v>-3709119</v>
          </cell>
          <cell r="AD43">
            <v>-3709119</v>
          </cell>
        </row>
        <row r="44">
          <cell r="B44" t="str">
            <v>Other deductions from assets for leverage ratio purposes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</row>
        <row r="45">
          <cell r="B45" t="str">
            <v>Adjusted average assets</v>
          </cell>
          <cell r="C45">
            <v>70611202</v>
          </cell>
          <cell r="D45">
            <v>70448773</v>
          </cell>
          <cell r="E45">
            <v>72736130</v>
          </cell>
          <cell r="F45">
            <v>74164651</v>
          </cell>
          <cell r="G45">
            <v>76069584</v>
          </cell>
          <cell r="H45">
            <v>79146531</v>
          </cell>
          <cell r="I45">
            <v>83225797.414525002</v>
          </cell>
          <cell r="J45">
            <v>85122230.342384338</v>
          </cell>
          <cell r="K45">
            <v>84483571.716359347</v>
          </cell>
          <cell r="L45">
            <v>84152788.159000009</v>
          </cell>
          <cell r="M45">
            <v>84204534.384000003</v>
          </cell>
          <cell r="N45">
            <v>84806455.094999999</v>
          </cell>
          <cell r="O45">
            <v>85037433.037</v>
          </cell>
          <cell r="P45">
            <v>85455173.470499992</v>
          </cell>
          <cell r="Q45">
            <v>86220762.49000001</v>
          </cell>
          <cell r="R45">
            <v>87058806.673500001</v>
          </cell>
          <cell r="S45">
            <v>87745484.335500002</v>
          </cell>
          <cell r="T45">
            <v>88541744.7245</v>
          </cell>
          <cell r="U45">
            <v>89636013.601999998</v>
          </cell>
          <cell r="V45">
            <v>90715830.676499993</v>
          </cell>
          <cell r="W45">
            <v>-3709119</v>
          </cell>
          <cell r="X45">
            <v>-3709119</v>
          </cell>
          <cell r="Y45">
            <v>-3709119</v>
          </cell>
          <cell r="Z45">
            <v>-3709119</v>
          </cell>
          <cell r="AA45">
            <v>-3709119</v>
          </cell>
          <cell r="AB45">
            <v>-3709119</v>
          </cell>
          <cell r="AC45">
            <v>-3709119</v>
          </cell>
          <cell r="AD45">
            <v>-3709119</v>
          </cell>
        </row>
        <row r="46">
          <cell r="B46" t="str">
            <v>Risk-weighted assets</v>
          </cell>
          <cell r="C46">
            <v>69869670</v>
          </cell>
          <cell r="D46">
            <v>69963721</v>
          </cell>
          <cell r="E46">
            <v>70000000</v>
          </cell>
          <cell r="F46">
            <v>70538600</v>
          </cell>
          <cell r="G46">
            <v>71368329</v>
          </cell>
          <cell r="H46">
            <v>71905424</v>
          </cell>
          <cell r="I46">
            <v>71699195.630453959</v>
          </cell>
          <cell r="J46">
            <v>71930347.983483613</v>
          </cell>
          <cell r="K46">
            <v>71639351.626256928</v>
          </cell>
          <cell r="L46">
            <v>71936931.502785712</v>
          </cell>
          <cell r="M46">
            <v>72339284.966580242</v>
          </cell>
          <cell r="N46">
            <v>73025583.073704258</v>
          </cell>
          <cell r="O46">
            <v>72670405.666209161</v>
          </cell>
          <cell r="P46">
            <v>73852416.393365204</v>
          </cell>
          <cell r="Q46">
            <v>74303355.862745225</v>
          </cell>
          <cell r="R46">
            <v>75507549.197227478</v>
          </cell>
          <cell r="S46">
            <v>75562895.503529742</v>
          </cell>
          <cell r="T46">
            <v>77000284.148466974</v>
          </cell>
          <cell r="U46">
            <v>77880437.814894989</v>
          </cell>
          <cell r="V46">
            <v>79527681.026589856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B47" t="str">
            <v>Regulatory capital ratios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B48" t="str">
            <v>Common equity tier 1 capital ratio</v>
          </cell>
          <cell r="C48">
            <v>0.13037823135560825</v>
          </cell>
          <cell r="D48">
            <v>0.13313575745921233</v>
          </cell>
          <cell r="E48">
            <v>0.13366999985714287</v>
          </cell>
          <cell r="F48">
            <v>0.13415924628501275</v>
          </cell>
          <cell r="G48">
            <v>0.1334084679213941</v>
          </cell>
          <cell r="H48">
            <v>0.13377870882174339</v>
          </cell>
          <cell r="I48">
            <v>0.13432437261311791</v>
          </cell>
          <cell r="J48">
            <v>0.13433656890805556</v>
          </cell>
          <cell r="K48">
            <v>0.13525553396391399</v>
          </cell>
          <cell r="L48">
            <v>0.13520926214218218</v>
          </cell>
          <cell r="M48">
            <v>0.13512384847481509</v>
          </cell>
          <cell r="N48">
            <v>0.13473269559128626</v>
          </cell>
          <cell r="O48">
            <v>0.13625647340293257</v>
          </cell>
          <cell r="P48">
            <v>0.13502662245536551</v>
          </cell>
          <cell r="Q48">
            <v>0.13542388964966906</v>
          </cell>
          <cell r="R48">
            <v>0.13460062142180051</v>
          </cell>
          <cell r="S48">
            <v>0.13586808919713766</v>
          </cell>
          <cell r="T48">
            <v>0.1348058659966829</v>
          </cell>
          <cell r="U48">
            <v>0.13499201878475833</v>
          </cell>
          <cell r="V48">
            <v>0.13397311617180013</v>
          </cell>
          <cell r="W48" t="e">
            <v>#DIV/0!</v>
          </cell>
          <cell r="X48" t="e">
            <v>#DIV/0!</v>
          </cell>
          <cell r="Y48" t="e">
            <v>#DIV/0!</v>
          </cell>
          <cell r="Z48" t="e">
            <v>#DIV/0!</v>
          </cell>
          <cell r="AA48" t="e">
            <v>#DIV/0!</v>
          </cell>
          <cell r="AB48" t="e">
            <v>#DIV/0!</v>
          </cell>
          <cell r="AC48" t="e">
            <v>#DIV/0!</v>
          </cell>
          <cell r="AD48" t="e">
            <v>#DIV/0!</v>
          </cell>
        </row>
        <row r="49">
          <cell r="B49" t="str">
            <v>Tier 1 capital ratio</v>
          </cell>
          <cell r="C49">
            <v>0.13037823135560825</v>
          </cell>
          <cell r="D49">
            <v>0.13313575745921233</v>
          </cell>
          <cell r="E49">
            <v>0.13366999985714287</v>
          </cell>
          <cell r="F49">
            <v>0.13415924628501275</v>
          </cell>
          <cell r="G49">
            <v>0.1334084679213941</v>
          </cell>
          <cell r="H49">
            <v>0.13377870882174339</v>
          </cell>
          <cell r="I49">
            <v>0.13432437261311791</v>
          </cell>
          <cell r="J49">
            <v>0.13433656890805556</v>
          </cell>
          <cell r="K49">
            <v>0.13525553396391399</v>
          </cell>
          <cell r="L49">
            <v>0.13520926214218218</v>
          </cell>
          <cell r="M49">
            <v>0.13512384847481509</v>
          </cell>
          <cell r="N49">
            <v>0.13473269559128626</v>
          </cell>
          <cell r="O49">
            <v>0.13625647340293257</v>
          </cell>
          <cell r="P49">
            <v>0.13502662245536551</v>
          </cell>
          <cell r="Q49">
            <v>0.13542388964966906</v>
          </cell>
          <cell r="R49">
            <v>0.13460062142180051</v>
          </cell>
          <cell r="S49">
            <v>0.13586808919713766</v>
          </cell>
          <cell r="T49">
            <v>0.1348058659966829</v>
          </cell>
          <cell r="U49">
            <v>0.13499201878475833</v>
          </cell>
          <cell r="V49">
            <v>0.13397311617180013</v>
          </cell>
          <cell r="W49" t="e">
            <v>#DIV/0!</v>
          </cell>
          <cell r="X49" t="e">
            <v>#DIV/0!</v>
          </cell>
          <cell r="Y49" t="e">
            <v>#DIV/0!</v>
          </cell>
          <cell r="Z49" t="e">
            <v>#DIV/0!</v>
          </cell>
          <cell r="AA49" t="e">
            <v>#DIV/0!</v>
          </cell>
          <cell r="AB49" t="e">
            <v>#DIV/0!</v>
          </cell>
          <cell r="AC49" t="e">
            <v>#DIV/0!</v>
          </cell>
          <cell r="AD49" t="e">
            <v>#DIV/0!</v>
          </cell>
        </row>
        <row r="50">
          <cell r="B50" t="str">
            <v>Total capital ratio</v>
          </cell>
          <cell r="C50">
            <v>0.1485983946968692</v>
          </cell>
          <cell r="D50">
            <v>0.14991018545168575</v>
          </cell>
          <cell r="E50">
            <v>0.14842572842857144</v>
          </cell>
          <cell r="F50">
            <v>0.1489234661589541</v>
          </cell>
          <cell r="G50">
            <v>0.14819342946925379</v>
          </cell>
          <cell r="H50">
            <v>0.14702078357816234</v>
          </cell>
          <cell r="I50">
            <v>0.14657902113286783</v>
          </cell>
          <cell r="J50">
            <v>0.15516043814255356</v>
          </cell>
          <cell r="K50">
            <v>0.15628254811161638</v>
          </cell>
          <cell r="L50">
            <v>0.15491990121374871</v>
          </cell>
          <cell r="M50">
            <v>0.15479132946173746</v>
          </cell>
          <cell r="N50">
            <v>0.15430955710894687</v>
          </cell>
          <cell r="O50">
            <v>0.15610104501550134</v>
          </cell>
          <cell r="P50">
            <v>0.15342047562477526</v>
          </cell>
          <cell r="Q50">
            <v>0.15381616590560837</v>
          </cell>
          <cell r="R50">
            <v>0.15272497527019047</v>
          </cell>
          <cell r="S50">
            <v>0.15416540410861182</v>
          </cell>
          <cell r="T50">
            <v>0.15294619305898391</v>
          </cell>
          <cell r="U50">
            <v>0.15302996811889558</v>
          </cell>
          <cell r="V50">
            <v>0.15172922989514115</v>
          </cell>
          <cell r="W50" t="e">
            <v>#DIV/0!</v>
          </cell>
          <cell r="X50" t="e">
            <v>#DIV/0!</v>
          </cell>
          <cell r="Y50" t="e">
            <v>#DIV/0!</v>
          </cell>
          <cell r="Z50" t="e">
            <v>#DIV/0!</v>
          </cell>
          <cell r="AA50" t="e">
            <v>#DIV/0!</v>
          </cell>
          <cell r="AB50" t="e">
            <v>#DIV/0!</v>
          </cell>
          <cell r="AC50" t="e">
            <v>#DIV/0!</v>
          </cell>
          <cell r="AD50" t="e">
            <v>#DIV/0!</v>
          </cell>
        </row>
        <row r="51">
          <cell r="B51" t="str">
            <v>Tier 1 leverage ratio</v>
          </cell>
          <cell r="C51">
            <v>0.12900904873422209</v>
          </cell>
          <cell r="D51">
            <v>0.13221909471723517</v>
          </cell>
          <cell r="E51">
            <v>0.12864170791049787</v>
          </cell>
          <cell r="F51">
            <v>0.1275999452892996</v>
          </cell>
          <cell r="G51">
            <v>0.12516355328037551</v>
          </cell>
          <cell r="H51">
            <v>0.12153931016888156</v>
          </cell>
          <cell r="I51">
            <v>0.11572072325071037</v>
          </cell>
          <cell r="J51">
            <v>0.11351765701623412</v>
          </cell>
          <cell r="K51">
            <v>0.11469234266715643</v>
          </cell>
          <cell r="L51">
            <v>0.11558190336946214</v>
          </cell>
          <cell r="M51">
            <v>0.11608356547670662</v>
          </cell>
          <cell r="N51">
            <v>0.11601632969594156</v>
          </cell>
          <cell r="O51">
            <v>0.11644064082378691</v>
          </cell>
          <cell r="P51">
            <v>0.11669325496373631</v>
          </cell>
          <cell r="Q51">
            <v>0.11670564228799943</v>
          </cell>
          <cell r="R51">
            <v>0.1167413548648794</v>
          </cell>
          <cell r="S51">
            <v>0.11700415473248374</v>
          </cell>
          <cell r="T51">
            <v>0.11723385414329333</v>
          </cell>
          <cell r="U51">
            <v>0.11728809774109511</v>
          </cell>
          <cell r="V51">
            <v>0.1174499662252364</v>
          </cell>
          <cell r="W51">
            <v>-2.9047963273891155</v>
          </cell>
          <cell r="X51">
            <v>-2.9047963273891155</v>
          </cell>
          <cell r="Y51">
            <v>-2.9047963273891155</v>
          </cell>
          <cell r="Z51">
            <v>-2.9047963273891155</v>
          </cell>
          <cell r="AA51">
            <v>-2.9047963273891155</v>
          </cell>
          <cell r="AB51">
            <v>-2.9047963273891155</v>
          </cell>
          <cell r="AC51">
            <v>-2.9047963273891155</v>
          </cell>
          <cell r="AD51">
            <v>-2.9047963273891155</v>
          </cell>
        </row>
        <row r="52">
          <cell r="B52" t="str">
            <v>Tangible common equity ratio</v>
          </cell>
          <cell r="C52">
            <v>0.13225427064693249</v>
          </cell>
          <cell r="D52">
            <v>0.13112692181330424</v>
          </cell>
          <cell r="E52">
            <v>0.13143813273835184</v>
          </cell>
          <cell r="F52">
            <v>0.12777987221023024</v>
          </cell>
          <cell r="G52">
            <v>0.12534048971929093</v>
          </cell>
          <cell r="H52">
            <v>0.12309497170051741</v>
          </cell>
          <cell r="I52">
            <v>0.11695851549800415</v>
          </cell>
          <cell r="J52">
            <v>0.11866686689136879</v>
          </cell>
          <cell r="K52">
            <v>0.11942233483654192</v>
          </cell>
          <cell r="L52">
            <v>0.12035739129334057</v>
          </cell>
          <cell r="M52">
            <v>0.1202831745410797</v>
          </cell>
          <cell r="N52">
            <v>0.11997642571751582</v>
          </cell>
          <cell r="O52">
            <v>0.12112405145915374</v>
          </cell>
          <cell r="P52">
            <v>0.12035803452112938</v>
          </cell>
          <cell r="Q52">
            <v>0.12083718817815693</v>
          </cell>
          <cell r="R52">
            <v>0.12023948739565926</v>
          </cell>
          <cell r="S52">
            <v>0.12127151062791872</v>
          </cell>
          <cell r="T52">
            <v>0.12052183016208341</v>
          </cell>
          <cell r="U52">
            <v>0.12106335513277844</v>
          </cell>
          <cell r="V52">
            <v>0.12067689100546422</v>
          </cell>
          <cell r="W52">
            <v>-2.9047963273891155</v>
          </cell>
          <cell r="X52">
            <v>-2.9047963273891155</v>
          </cell>
          <cell r="Y52">
            <v>-2.9047963273891155</v>
          </cell>
          <cell r="Z52">
            <v>-2.9047963273891155</v>
          </cell>
          <cell r="AA52">
            <v>-2.9047963273891155</v>
          </cell>
          <cell r="AB52">
            <v>-2.9047963273891155</v>
          </cell>
          <cell r="AC52">
            <v>-2.9047963273891155</v>
          </cell>
          <cell r="AD52">
            <v>-2.9047963273891155</v>
          </cell>
        </row>
        <row r="53">
          <cell r="B53" t="str">
            <v>Other inputs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</row>
        <row r="54">
          <cell r="B54" t="str">
            <v>Net income</v>
          </cell>
          <cell r="C54">
            <v>78787.11</v>
          </cell>
          <cell r="D54">
            <v>79354.990000000005</v>
          </cell>
          <cell r="E54">
            <v>115773</v>
          </cell>
          <cell r="F54">
            <v>101752.42</v>
          </cell>
          <cell r="G54">
            <v>58747.02</v>
          </cell>
          <cell r="H54">
            <v>98410.35</v>
          </cell>
          <cell r="I54">
            <v>11189.689925934441</v>
          </cell>
          <cell r="J54">
            <v>31926.67853772852</v>
          </cell>
          <cell r="K54">
            <v>26742.608574309059</v>
          </cell>
          <cell r="L54">
            <v>36920.672226384988</v>
          </cell>
          <cell r="M54">
            <v>48223.15133630178</v>
          </cell>
          <cell r="N54">
            <v>64171.074044923662</v>
          </cell>
          <cell r="O54">
            <v>62879.542192566034</v>
          </cell>
          <cell r="P54">
            <v>70229.148925222631</v>
          </cell>
          <cell r="Q54">
            <v>90407.119193128543</v>
          </cell>
          <cell r="R54">
            <v>100913.57902749437</v>
          </cell>
          <cell r="S54">
            <v>103223.18228357735</v>
          </cell>
          <cell r="T54">
            <v>113503.76035717336</v>
          </cell>
          <cell r="U54">
            <v>133147.53784876168</v>
          </cell>
          <cell r="V54">
            <v>141333.72457568281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B55" t="str">
            <v>Common dividend rate (%)</v>
          </cell>
          <cell r="C55">
            <v>0</v>
          </cell>
          <cell r="D55">
            <v>0</v>
          </cell>
          <cell r="E55">
            <v>0.98292495531786972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</row>
        <row r="56">
          <cell r="B56" t="str">
            <v>Common issuance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</row>
        <row r="57">
          <cell r="B57" t="str">
            <v>Additional bank sub debt issue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600000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</row>
        <row r="58">
          <cell r="B58" t="str">
            <v>Other outputs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</row>
        <row r="59">
          <cell r="B59" t="str">
            <v>Common Dividends</v>
          </cell>
          <cell r="C59">
            <v>0</v>
          </cell>
          <cell r="D59">
            <v>0</v>
          </cell>
          <cell r="E59">
            <v>78000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</row>
        <row r="60">
          <cell r="B60">
            <v>0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</sheetData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ANK"/>
      <sheetName val="HoldCo"/>
      <sheetName val="Capital_SBANK"/>
      <sheetName val="Capital_HoldCo"/>
    </sheetNames>
    <sheetDataSet>
      <sheetData sheetId="0"/>
      <sheetData sheetId="1"/>
      <sheetData sheetId="2">
        <row r="18">
          <cell r="E18">
            <v>52821.347774163871</v>
          </cell>
        </row>
      </sheetData>
      <sheetData sheetId="3">
        <row r="18">
          <cell r="E18">
            <v>114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. ALCOPool"/>
      <sheetName val="30. Specialized"/>
      <sheetName val="29.Corporate Center"/>
      <sheetName val="28. ALM"/>
      <sheetName val="27.Wealth Management"/>
      <sheetName val="26.Unsecured lending"/>
      <sheetName val="25.Vehicle Fina Prd&amp;Srv"/>
      <sheetName val="24. Auto_Fin&amp;Allian_Adm"/>
      <sheetName val="23. Auto_Finance_Admin"/>
      <sheetName val="22.Santander Money"/>
      <sheetName val="21.Strategy"/>
      <sheetName val="20.Infoot print Floor P"/>
      <sheetName val="19.Chrysler Floor Plan"/>
      <sheetName val="18.Leasing"/>
      <sheetName val="17.CEVF"/>
      <sheetName val="16.Large Corporate"/>
      <sheetName val="15.MRG"/>
      <sheetName val="14a.RE Admin"/>
      <sheetName val="14.Spec And Gov Fin Ad"/>
      <sheetName val="13.Commercial Banking A"/>
      <sheetName val="12.Mortgage Warehouse"/>
      <sheetName val="11.Government Banking"/>
      <sheetName val="10.Oil &amp; Gas"/>
      <sheetName val="9.Asset Based Lending"/>
      <sheetName val="8a.Equip Fin Leasing"/>
      <sheetName val="8.Intl Desk-Trade Fin"/>
      <sheetName val="7.Multifamily"/>
      <sheetName val="6.CRE"/>
      <sheetName val="5. Middle Market"/>
      <sheetName val="4.Business Banking"/>
      <sheetName val="3.RV &amp; Marine Initiat"/>
      <sheetName val="2.SBB"/>
      <sheetName val="1.Individuals"/>
      <sheetName val="1.1.Individuals_Others"/>
      <sheetName val="1.2.Mortgages"/>
      <sheetName val="1.3.Credit Cards"/>
      <sheetName val="1.4.Investment Services"/>
      <sheetName val="J_ALCOPOOL"/>
      <sheetName val="I_SPECIALIZED"/>
      <sheetName val="H_CORP CTR"/>
      <sheetName val="G_FINANCIAL MGMNT"/>
      <sheetName val="F_WEALTH MGMNT"/>
      <sheetName val="E_SCUSA"/>
      <sheetName val="D_AUTOFINANCE"/>
      <sheetName val="C_GBM"/>
      <sheetName val="B_CREB"/>
      <sheetName val="B_COMMERCIAL"/>
      <sheetName val="A_RETAIL"/>
      <sheetName val="TOTAL COUNT"/>
      <sheetName val="Effective RW's Sp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817">
          <cell r="AA817">
            <v>49514396988.777008</v>
          </cell>
        </row>
        <row r="818">
          <cell r="AA818">
            <v>379414186.25</v>
          </cell>
        </row>
        <row r="819">
          <cell r="AA819">
            <v>4660041928.263732</v>
          </cell>
        </row>
      </sheetData>
      <sheetData sheetId="4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DATOS"/>
      <sheetName val="MENU"/>
      <sheetName val="BALANCE"/>
      <sheetName val="VISOR RESULTADOS - P&amp;L"/>
      <sheetName val="INSTRUCTIONS"/>
      <sheetName val="ÁREAS"/>
      <sheetName val="IDIOMA"/>
      <sheetName val="IDIOMA MATRIZ"/>
      <sheetName val="AN01010100"/>
      <sheetName val="AN01050000"/>
      <sheetName val="AN01010201"/>
      <sheetName val="AN01010202"/>
      <sheetName val="AN01010300"/>
      <sheetName val="AN01010400"/>
      <sheetName val="AN01030300"/>
      <sheetName val="AN01030200"/>
      <sheetName val="AN01030100"/>
      <sheetName val="AN01020200"/>
      <sheetName val="AN01020100"/>
      <sheetName val="AN01020400"/>
      <sheetName val="AN01040100"/>
      <sheetName val="AN01040200"/>
      <sheetName val="AN01040400"/>
      <sheetName val="AN06010000"/>
      <sheetName val="AN06020000"/>
      <sheetName val="AN02050600"/>
      <sheetName val="AN02050650"/>
      <sheetName val="AN02050500"/>
      <sheetName val="AN02050550"/>
      <sheetName val="AN02050800"/>
      <sheetName val="AN02050850"/>
      <sheetName val="AN02050700"/>
      <sheetName val="AN02050750"/>
      <sheetName val="AN02030300"/>
      <sheetName val="AN02030350"/>
      <sheetName val="AN02030400"/>
      <sheetName val="AN02030450"/>
      <sheetName val="AN02030200"/>
      <sheetName val="AN02030250"/>
      <sheetName val="AN02010200"/>
      <sheetName val="AN02010250"/>
      <sheetName val="AN02020100"/>
      <sheetName val="AN02020150"/>
      <sheetName val="AN02020300"/>
      <sheetName val="AN02020350"/>
      <sheetName val="AN02020200"/>
      <sheetName val="AN02020250"/>
      <sheetName val="AN02050300"/>
      <sheetName val="AN02050350"/>
      <sheetName val="AN02080000"/>
      <sheetName val="AN02080050"/>
      <sheetName val="AN02090000"/>
      <sheetName val="AN02050100"/>
      <sheetName val="AN02050150"/>
      <sheetName val="AN02050400"/>
      <sheetName val="AN02050450"/>
      <sheetName val="AN02030900"/>
      <sheetName val="AN02030500"/>
      <sheetName val="AN02060000"/>
      <sheetName val="AN02030401"/>
      <sheetName val="AN02030700"/>
      <sheetName val="AN02030800"/>
      <sheetName val="AN03010000"/>
      <sheetName val="AN03020000"/>
      <sheetName val="AN03030000"/>
      <sheetName val="NC"/>
      <sheetName val="AN04010100"/>
      <sheetName val="AN04010400"/>
      <sheetName val="AN04010500"/>
      <sheetName val="AN04010600"/>
      <sheetName val="AN04010700"/>
      <sheetName val="AN04020000"/>
      <sheetName val="AN04030000"/>
      <sheetName val="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10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11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12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13" refreshError="1">
        <row r="16">
          <cell r="BP16">
            <v>4429099.5463700006</v>
          </cell>
        </row>
        <row r="17">
          <cell r="BP17">
            <v>2312925.29666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641645.75344999973</v>
          </cell>
        </row>
        <row r="29">
          <cell r="BP29">
            <v>5253043.7276800014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25200.056149999993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1153976.4889400001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261686.58371000001</v>
          </cell>
        </row>
        <row r="54">
          <cell r="BP54">
            <v>0</v>
          </cell>
        </row>
        <row r="55">
          <cell r="BP55">
            <v>82846.77277000001</v>
          </cell>
        </row>
        <row r="56">
          <cell r="BP56">
            <v>0</v>
          </cell>
        </row>
        <row r="57">
          <cell r="BP57">
            <v>351218.13828999997</v>
          </cell>
        </row>
        <row r="89">
          <cell r="BP89">
            <v>-218640.22515000004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69053.580539999995</v>
          </cell>
          <cell r="F271">
            <v>61547.071789999995</v>
          </cell>
          <cell r="G271">
            <v>66563.144350000002</v>
          </cell>
          <cell r="H271">
            <v>68063.018790000002</v>
          </cell>
          <cell r="I271">
            <v>62602.025749999993</v>
          </cell>
          <cell r="J271">
            <v>62601.879579999993</v>
          </cell>
          <cell r="K271">
            <v>64875.106329999995</v>
          </cell>
          <cell r="L271">
            <v>63341.323990000004</v>
          </cell>
          <cell r="M271">
            <v>66163.723939999996</v>
          </cell>
          <cell r="N271">
            <v>60384.486809999988</v>
          </cell>
          <cell r="O271">
            <v>61234.762969999996</v>
          </cell>
          <cell r="P271">
            <v>66243.108240000016</v>
          </cell>
        </row>
        <row r="273">
          <cell r="E273">
            <v>-1931.3735900000004</v>
          </cell>
          <cell r="F273">
            <v>-1215.7789400000001</v>
          </cell>
          <cell r="G273">
            <v>-4837.6834299999991</v>
          </cell>
          <cell r="H273">
            <v>-1632.2823799999996</v>
          </cell>
          <cell r="I273">
            <v>-1541.9940799999999</v>
          </cell>
          <cell r="J273">
            <v>-1721.0609099999999</v>
          </cell>
          <cell r="K273">
            <v>-1659.55852</v>
          </cell>
          <cell r="L273">
            <v>-1589.7136800000003</v>
          </cell>
          <cell r="M273">
            <v>-1594.5046600000003</v>
          </cell>
          <cell r="N273">
            <v>-1546.1456299999998</v>
          </cell>
          <cell r="O273">
            <v>-1394.6069299999997</v>
          </cell>
          <cell r="P273">
            <v>-1205.9576200000001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370.52378999999996</v>
          </cell>
          <cell r="F285">
            <v>323.90055999999998</v>
          </cell>
          <cell r="G285">
            <v>414.90648999999996</v>
          </cell>
          <cell r="H285">
            <v>380.27157</v>
          </cell>
          <cell r="I285">
            <v>411.01940000000002</v>
          </cell>
          <cell r="J285">
            <v>398.72419000000002</v>
          </cell>
          <cell r="K285">
            <v>378.53932000000003</v>
          </cell>
          <cell r="L285">
            <v>354.33426000000003</v>
          </cell>
          <cell r="M285">
            <v>275.55008000000004</v>
          </cell>
          <cell r="N285">
            <v>294.85622999999998</v>
          </cell>
          <cell r="O285">
            <v>283.48056000000003</v>
          </cell>
          <cell r="P285">
            <v>321.49975000000001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3755.0985299999998</v>
          </cell>
          <cell r="F302">
            <v>3306.9787200000001</v>
          </cell>
          <cell r="G302">
            <v>3820.0237999999999</v>
          </cell>
          <cell r="H302">
            <v>4277.9331099999999</v>
          </cell>
          <cell r="I302">
            <v>3803.3359799999998</v>
          </cell>
          <cell r="J302">
            <v>3751.3694500000001</v>
          </cell>
          <cell r="K302">
            <v>3902.16077</v>
          </cell>
          <cell r="L302">
            <v>3493.5731900000001</v>
          </cell>
          <cell r="M302">
            <v>3024.0346600000003</v>
          </cell>
          <cell r="N302">
            <v>3639.66518</v>
          </cell>
          <cell r="O302">
            <v>2928.8014700000003</v>
          </cell>
          <cell r="P302">
            <v>3256.9936899999998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1154.2013899999999</v>
          </cell>
          <cell r="F307">
            <v>164.82416000000001</v>
          </cell>
          <cell r="G307">
            <v>173.95665</v>
          </cell>
          <cell r="H307">
            <v>-764.19722999999999</v>
          </cell>
          <cell r="I307">
            <v>176.72003000000001</v>
          </cell>
          <cell r="J307">
            <v>91.063890000000015</v>
          </cell>
          <cell r="K307">
            <v>164.8356</v>
          </cell>
          <cell r="L307">
            <v>154.40151999999998</v>
          </cell>
          <cell r="M307">
            <v>170.03793999999999</v>
          </cell>
          <cell r="N307">
            <v>155.36564000000001</v>
          </cell>
          <cell r="O307">
            <v>141.50982000000002</v>
          </cell>
          <cell r="P307">
            <v>1064.7244499999999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459.15693999999996</v>
          </cell>
          <cell r="F310">
            <v>190.76098000000007</v>
          </cell>
          <cell r="G310">
            <v>344.4595700000001</v>
          </cell>
          <cell r="H310">
            <v>647.20248000000004</v>
          </cell>
          <cell r="I310">
            <v>218.63247999999999</v>
          </cell>
          <cell r="J310">
            <v>237.54997000000003</v>
          </cell>
          <cell r="K310">
            <v>692.60369999999989</v>
          </cell>
          <cell r="L310">
            <v>229.05298999999997</v>
          </cell>
          <cell r="M310">
            <v>228.22546</v>
          </cell>
          <cell r="N310">
            <v>857.58306000000005</v>
          </cell>
          <cell r="O310">
            <v>235.32225</v>
          </cell>
          <cell r="P310">
            <v>238.13778000000008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2874.4093100000005</v>
          </cell>
          <cell r="F318">
            <v>2251.9685799999997</v>
          </cell>
          <cell r="G318">
            <v>3039.0763900000002</v>
          </cell>
          <cell r="H318">
            <v>3314.70568</v>
          </cell>
          <cell r="I318">
            <v>3318.55996</v>
          </cell>
          <cell r="J318">
            <v>3461.9459999999999</v>
          </cell>
          <cell r="K318">
            <v>2872.0987500000001</v>
          </cell>
          <cell r="L318">
            <v>2934.82789</v>
          </cell>
          <cell r="M318">
            <v>2501.5126199999995</v>
          </cell>
          <cell r="N318">
            <v>3489.8343500000001</v>
          </cell>
          <cell r="O318">
            <v>2430.7190500000002</v>
          </cell>
          <cell r="P318">
            <v>3954.5728799999997</v>
          </cell>
        </row>
        <row r="319">
          <cell r="E319">
            <v>-258.04336000000001</v>
          </cell>
          <cell r="F319">
            <v>357.19439</v>
          </cell>
          <cell r="G319">
            <v>994.33881000000019</v>
          </cell>
          <cell r="H319">
            <v>458.11648000000002</v>
          </cell>
          <cell r="I319">
            <v>521.14510000000007</v>
          </cell>
          <cell r="J319">
            <v>422.55046000000004</v>
          </cell>
          <cell r="K319">
            <v>463.09206</v>
          </cell>
          <cell r="L319">
            <v>518.02654000000007</v>
          </cell>
          <cell r="M319">
            <v>488.37337000000008</v>
          </cell>
          <cell r="N319">
            <v>395.05419999999998</v>
          </cell>
          <cell r="O319">
            <v>447.93761999999998</v>
          </cell>
          <cell r="P319">
            <v>450.69919999999996</v>
          </cell>
        </row>
        <row r="320">
          <cell r="E320">
            <v>2172.2948100000003</v>
          </cell>
          <cell r="F320">
            <v>2137.9531099999995</v>
          </cell>
          <cell r="G320">
            <v>2472.4781800000001</v>
          </cell>
          <cell r="H320">
            <v>2457.2671299999997</v>
          </cell>
          <cell r="I320">
            <v>2522.9067500000006</v>
          </cell>
          <cell r="J320">
            <v>2619.4429</v>
          </cell>
          <cell r="K320">
            <v>2643.4934999999996</v>
          </cell>
          <cell r="L320">
            <v>2560.5824699999998</v>
          </cell>
          <cell r="M320">
            <v>2617.9302900000002</v>
          </cell>
          <cell r="N320">
            <v>2505.5721800000001</v>
          </cell>
          <cell r="O320">
            <v>2103.4355699999996</v>
          </cell>
          <cell r="P320">
            <v>2422.1367200000004</v>
          </cell>
        </row>
        <row r="321">
          <cell r="E321">
            <v>1205.1868999999999</v>
          </cell>
          <cell r="F321">
            <v>1277.2232200000001</v>
          </cell>
          <cell r="G321">
            <v>1399.4577899999999</v>
          </cell>
          <cell r="H321">
            <v>1519.0877800000001</v>
          </cell>
          <cell r="I321">
            <v>1606.8192199999999</v>
          </cell>
          <cell r="J321">
            <v>1456.6009799999999</v>
          </cell>
          <cell r="K321">
            <v>1411.28727</v>
          </cell>
          <cell r="L321">
            <v>1419.56934</v>
          </cell>
          <cell r="M321">
            <v>1338.71648</v>
          </cell>
          <cell r="N321">
            <v>4388.1043899999995</v>
          </cell>
          <cell r="O321">
            <v>1179.1396500000001</v>
          </cell>
          <cell r="P321">
            <v>1308.5791099999999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-5.9384899999997458</v>
          </cell>
          <cell r="F323">
            <v>-310.19391000000019</v>
          </cell>
          <cell r="G323">
            <v>-124.65619000000058</v>
          </cell>
          <cell r="H323">
            <v>124.816499999999</v>
          </cell>
          <cell r="I323">
            <v>-460.33456999999771</v>
          </cell>
          <cell r="J323">
            <v>-6.2390300000014065</v>
          </cell>
          <cell r="K323">
            <v>-51.404819999999859</v>
          </cell>
          <cell r="L323">
            <v>-413.56147000000067</v>
          </cell>
          <cell r="M323">
            <v>-243.84282999999988</v>
          </cell>
          <cell r="N323">
            <v>-362.59502999999893</v>
          </cell>
          <cell r="O323">
            <v>-97.3540899999999</v>
          </cell>
          <cell r="P323">
            <v>-339.38541999999978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236.24017999999998</v>
          </cell>
          <cell r="F333">
            <v>209.54297</v>
          </cell>
          <cell r="G333">
            <v>234.66415000000003</v>
          </cell>
          <cell r="H333">
            <v>256.02245000000005</v>
          </cell>
          <cell r="I333">
            <v>243.15552000000002</v>
          </cell>
          <cell r="J333">
            <v>246.72850000000003</v>
          </cell>
          <cell r="K333">
            <v>253.50666999999999</v>
          </cell>
          <cell r="L333">
            <v>239.50815</v>
          </cell>
          <cell r="M333">
            <v>248.90379999999999</v>
          </cell>
          <cell r="N333">
            <v>232.27940000000001</v>
          </cell>
          <cell r="O333">
            <v>185.4913</v>
          </cell>
          <cell r="P333">
            <v>247.22561000000002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451.73356999999999</v>
          </cell>
          <cell r="F342">
            <v>371.43185000000005</v>
          </cell>
          <cell r="G342">
            <v>356.65373999999997</v>
          </cell>
          <cell r="H342">
            <v>408.86361999999997</v>
          </cell>
          <cell r="I342">
            <v>389.22222999999997</v>
          </cell>
          <cell r="J342">
            <v>425.66359999999997</v>
          </cell>
          <cell r="K342">
            <v>464.87767000000002</v>
          </cell>
          <cell r="L342">
            <v>420.35003999999998</v>
          </cell>
          <cell r="M342">
            <v>443.93122999999997</v>
          </cell>
          <cell r="N342">
            <v>444.93752000000001</v>
          </cell>
          <cell r="O342">
            <v>353.15185000000002</v>
          </cell>
          <cell r="P342">
            <v>427.83098999999999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6821.3863600000004</v>
          </cell>
          <cell r="F350">
            <v>5667.3490099999999</v>
          </cell>
          <cell r="G350">
            <v>5378.6146600000002</v>
          </cell>
          <cell r="H350">
            <v>5894.4613499999996</v>
          </cell>
          <cell r="I350">
            <v>5460.2440399999996</v>
          </cell>
          <cell r="J350">
            <v>5722.7347800000016</v>
          </cell>
          <cell r="K350">
            <v>5968.7596599999997</v>
          </cell>
          <cell r="L350">
            <v>5590.9712599999993</v>
          </cell>
          <cell r="M350">
            <v>6180.0985499999997</v>
          </cell>
          <cell r="N350">
            <v>6090.8442699999996</v>
          </cell>
          <cell r="O350">
            <v>5119.4762000000001</v>
          </cell>
          <cell r="P350">
            <v>6300.5620899999994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532.33057000000008</v>
          </cell>
          <cell r="F354">
            <v>546.10619999999994</v>
          </cell>
          <cell r="G354">
            <v>568.12732000000005</v>
          </cell>
          <cell r="H354">
            <v>530.73489000000006</v>
          </cell>
          <cell r="I354">
            <v>532.66459000000009</v>
          </cell>
          <cell r="J354">
            <v>519.27286000000004</v>
          </cell>
          <cell r="K354">
            <v>523.63655000000006</v>
          </cell>
          <cell r="L354">
            <v>525.93605000000002</v>
          </cell>
          <cell r="M354">
            <v>521.73752000000002</v>
          </cell>
          <cell r="N354">
            <v>526.22223000000008</v>
          </cell>
          <cell r="O354">
            <v>519.71139999999991</v>
          </cell>
          <cell r="P354">
            <v>520.64864</v>
          </cell>
        </row>
        <row r="355">
          <cell r="E355">
            <v>5329.91057</v>
          </cell>
          <cell r="F355">
            <v>5201.1272800000006</v>
          </cell>
          <cell r="G355">
            <v>5537.4465899999996</v>
          </cell>
          <cell r="H355">
            <v>5056.2569399999993</v>
          </cell>
          <cell r="I355">
            <v>5733.4514899999986</v>
          </cell>
          <cell r="J355">
            <v>5123.2927500000005</v>
          </cell>
          <cell r="K355">
            <v>5511.9914800000006</v>
          </cell>
          <cell r="L355">
            <v>5248.8524700000007</v>
          </cell>
          <cell r="M355">
            <v>5403.6987600000011</v>
          </cell>
          <cell r="N355">
            <v>6237.5766199999998</v>
          </cell>
          <cell r="O355">
            <v>5287.1117300000005</v>
          </cell>
          <cell r="P355">
            <v>6606.36931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306.30435</v>
          </cell>
          <cell r="F359">
            <v>288.67505</v>
          </cell>
          <cell r="G359">
            <v>290.63730000000004</v>
          </cell>
          <cell r="H359">
            <v>284.79383000000001</v>
          </cell>
          <cell r="I359">
            <v>272.27911</v>
          </cell>
          <cell r="J359">
            <v>309.55696</v>
          </cell>
          <cell r="K359">
            <v>299.33893000000006</v>
          </cell>
          <cell r="L359">
            <v>305.33399000000003</v>
          </cell>
          <cell r="M359">
            <v>273.36849000000001</v>
          </cell>
          <cell r="N359">
            <v>301.31301000000002</v>
          </cell>
          <cell r="O359">
            <v>270.19759999999997</v>
          </cell>
          <cell r="P359">
            <v>-129.82981000000001</v>
          </cell>
        </row>
        <row r="362">
          <cell r="E362">
            <v>-7917.1544599999988</v>
          </cell>
          <cell r="F362">
            <v>-525.40805999999998</v>
          </cell>
          <cell r="G362">
            <v>2574.5482099999999</v>
          </cell>
          <cell r="H362">
            <v>-3766.5359399999993</v>
          </cell>
          <cell r="I362">
            <v>2739.0078900000026</v>
          </cell>
          <cell r="J362">
            <v>678.26662999999985</v>
          </cell>
          <cell r="K362">
            <v>1081.1365799999999</v>
          </cell>
          <cell r="L362">
            <v>-8906.8007899999993</v>
          </cell>
          <cell r="M362">
            <v>64245.418259999999</v>
          </cell>
          <cell r="N362">
            <v>-11362.370480000001</v>
          </cell>
          <cell r="O362">
            <v>9111.20795</v>
          </cell>
          <cell r="P362">
            <v>25992.238380000003</v>
          </cell>
        </row>
        <row r="363">
          <cell r="E363">
            <v>0</v>
          </cell>
          <cell r="F363">
            <v>-64.293000000000006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-68.007999999999996</v>
          </cell>
          <cell r="M363">
            <v>0</v>
          </cell>
          <cell r="N363">
            <v>0</v>
          </cell>
          <cell r="O363">
            <v>-19.324000000000002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65.359750000000005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11784.41502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163.81049999999999</v>
          </cell>
          <cell r="F374">
            <v>159.98919000000001</v>
          </cell>
          <cell r="G374">
            <v>197.45901999999998</v>
          </cell>
          <cell r="H374">
            <v>159.57872</v>
          </cell>
          <cell r="I374">
            <v>311.46033999999997</v>
          </cell>
          <cell r="J374">
            <v>28.343480000000003</v>
          </cell>
          <cell r="K374">
            <v>208.89372000000003</v>
          </cell>
          <cell r="L374">
            <v>186.69529999999997</v>
          </cell>
          <cell r="M374">
            <v>165.26871000000003</v>
          </cell>
          <cell r="N374">
            <v>175.84809000000001</v>
          </cell>
          <cell r="O374">
            <v>167.24487999999999</v>
          </cell>
          <cell r="P374">
            <v>192.40845999999999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-3581.6581000000006</v>
          </cell>
          <cell r="F378">
            <v>-3442.3885799999998</v>
          </cell>
          <cell r="G378">
            <v>-3216.74361</v>
          </cell>
          <cell r="H378">
            <v>-3370.9130100000002</v>
          </cell>
          <cell r="I378">
            <v>-3466.6672400000002</v>
          </cell>
          <cell r="J378">
            <v>-3353.9822199999999</v>
          </cell>
          <cell r="K378">
            <v>-3366.0354299999999</v>
          </cell>
          <cell r="L378">
            <v>-3393.5207999999993</v>
          </cell>
          <cell r="M378">
            <v>-3330.1041099999998</v>
          </cell>
          <cell r="N378">
            <v>-3458.4174100000005</v>
          </cell>
          <cell r="O378">
            <v>-2837.7811299999994</v>
          </cell>
          <cell r="P378">
            <v>-1698.4964499999999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10892.997929999998</v>
          </cell>
          <cell r="F383">
            <v>10.253149999998641</v>
          </cell>
          <cell r="G383">
            <v>176.19034999999911</v>
          </cell>
          <cell r="H383">
            <v>104.94202000000101</v>
          </cell>
          <cell r="I383">
            <v>93.079730000000268</v>
          </cell>
          <cell r="J383">
            <v>346.96142000000054</v>
          </cell>
          <cell r="K383">
            <v>91.23002999999693</v>
          </cell>
          <cell r="L383">
            <v>95.553189999999319</v>
          </cell>
          <cell r="M383">
            <v>97.465089999972093</v>
          </cell>
          <cell r="N383">
            <v>277.8139199999996</v>
          </cell>
          <cell r="O383">
            <v>151.27923000000098</v>
          </cell>
          <cell r="P383">
            <v>473.75064000000725</v>
          </cell>
        </row>
        <row r="385">
          <cell r="E385">
            <v>-46634.445817504624</v>
          </cell>
          <cell r="F385">
            <v>-41923.024856292839</v>
          </cell>
          <cell r="G385">
            <v>-40111.246853544602</v>
          </cell>
          <cell r="H385">
            <v>-45568.33233084096</v>
          </cell>
          <cell r="I385">
            <v>-47103.705277279354</v>
          </cell>
          <cell r="J385">
            <v>-44235.896029679832</v>
          </cell>
          <cell r="K385">
            <v>-48869.88070372834</v>
          </cell>
          <cell r="L385">
            <v>-45657.397381151517</v>
          </cell>
          <cell r="M385">
            <v>-46262.97089888659</v>
          </cell>
          <cell r="N385">
            <v>-53146.910108102835</v>
          </cell>
          <cell r="O385">
            <v>-46142.832164721614</v>
          </cell>
          <cell r="P385">
            <v>-46393.396427673433</v>
          </cell>
        </row>
        <row r="386">
          <cell r="E386">
            <v>-56097.092505300767</v>
          </cell>
          <cell r="F386">
            <v>-58766.542225209021</v>
          </cell>
          <cell r="G386">
            <v>-59292.567108306313</v>
          </cell>
          <cell r="H386">
            <v>-51450.016493388815</v>
          </cell>
          <cell r="I386">
            <v>-50692.936760610355</v>
          </cell>
          <cell r="J386">
            <v>-53845.249016258218</v>
          </cell>
          <cell r="K386">
            <v>-54877.706864939639</v>
          </cell>
          <cell r="L386">
            <v>-55460.199211259715</v>
          </cell>
          <cell r="M386">
            <v>-69403.284960202509</v>
          </cell>
          <cell r="N386">
            <v>-49152.317633139501</v>
          </cell>
          <cell r="O386">
            <v>-50505.138015311357</v>
          </cell>
          <cell r="P386">
            <v>-58070.422875712698</v>
          </cell>
        </row>
        <row r="387">
          <cell r="E387">
            <v>-1748.5394300495986</v>
          </cell>
          <cell r="F387">
            <v>-1885.2328642266052</v>
          </cell>
          <cell r="G387">
            <v>-2803.8732954569814</v>
          </cell>
          <cell r="H387">
            <v>-9001.4690674702633</v>
          </cell>
          <cell r="I387">
            <v>-10632.181838178047</v>
          </cell>
          <cell r="J387">
            <v>-2353.2147223493594</v>
          </cell>
          <cell r="K387">
            <v>-9346.2183820723585</v>
          </cell>
          <cell r="L387">
            <v>-8425.9869280726271</v>
          </cell>
          <cell r="M387">
            <v>-8414.2231115085106</v>
          </cell>
          <cell r="N387">
            <v>-9667.5911908036487</v>
          </cell>
          <cell r="O387">
            <v>-9435.335018619091</v>
          </cell>
          <cell r="P387">
            <v>-7606.9607193053753</v>
          </cell>
        </row>
        <row r="389">
          <cell r="E389">
            <v>-3375.753909999999</v>
          </cell>
          <cell r="F389">
            <v>-5350.6730599999983</v>
          </cell>
          <cell r="G389">
            <v>-5005.5444599999992</v>
          </cell>
          <cell r="H389">
            <v>-12978.381280000003</v>
          </cell>
          <cell r="I389">
            <v>-4711.7888500000008</v>
          </cell>
          <cell r="J389">
            <v>-10528.856960000001</v>
          </cell>
          <cell r="K389">
            <v>-4027.1765800000016</v>
          </cell>
          <cell r="L389">
            <v>-58974.597040000008</v>
          </cell>
          <cell r="M389">
            <v>72127.366139999998</v>
          </cell>
          <cell r="N389">
            <v>-8371.5443300000006</v>
          </cell>
          <cell r="O389">
            <v>-6166.9388900000004</v>
          </cell>
          <cell r="P389">
            <v>-7785.4817300000004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11625.47198</v>
          </cell>
          <cell r="F391">
            <v>-1826.7357500000005</v>
          </cell>
          <cell r="G391">
            <v>-928.3451399999999</v>
          </cell>
          <cell r="H391">
            <v>18693.44672</v>
          </cell>
          <cell r="I391">
            <v>-3036.4318700000008</v>
          </cell>
          <cell r="J391">
            <v>4133.3433299999988</v>
          </cell>
          <cell r="K391">
            <v>-11641.60025</v>
          </cell>
          <cell r="L391">
            <v>57493.678869999996</v>
          </cell>
          <cell r="M391">
            <v>-88063.083950000015</v>
          </cell>
          <cell r="N391">
            <v>12858.844259999998</v>
          </cell>
          <cell r="O391">
            <v>-1603.4830300000003</v>
          </cell>
          <cell r="P391">
            <v>6274.4009399999995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-1865.6593099999998</v>
          </cell>
          <cell r="F396">
            <v>-1773.8340099999998</v>
          </cell>
          <cell r="G396">
            <v>-1745.53503</v>
          </cell>
          <cell r="H396">
            <v>-1666.8826599999998</v>
          </cell>
          <cell r="I396">
            <v>-1754.2023700000002</v>
          </cell>
          <cell r="J396">
            <v>-1499.7384</v>
          </cell>
          <cell r="K396">
            <v>-1449.40013</v>
          </cell>
          <cell r="L396">
            <v>-1395.5812100000001</v>
          </cell>
          <cell r="M396">
            <v>-1331.7068100000001</v>
          </cell>
          <cell r="N396">
            <v>-1278.0387499999999</v>
          </cell>
          <cell r="O396">
            <v>-1229.8069300000002</v>
          </cell>
          <cell r="P396">
            <v>-1189.4421600000001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2090.1590649992459</v>
          </cell>
          <cell r="F399">
            <v>11576.018364504951</v>
          </cell>
          <cell r="G399">
            <v>8203.7038015577673</v>
          </cell>
          <cell r="H399">
            <v>6171.6475155950111</v>
          </cell>
          <cell r="I399">
            <v>11315.034411623717</v>
          </cell>
          <cell r="J399">
            <v>8666.2414654006006</v>
          </cell>
          <cell r="K399">
            <v>15209.797618759108</v>
          </cell>
          <cell r="L399">
            <v>13713.025439669358</v>
          </cell>
          <cell r="M399">
            <v>-2761.9319962908448</v>
          </cell>
          <cell r="N399">
            <v>12356.651338716094</v>
          </cell>
          <cell r="O399">
            <v>9549.7939550282208</v>
          </cell>
          <cell r="P399">
            <v>-4773.8508325579714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14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15" refreshError="1">
        <row r="16">
          <cell r="BP16">
            <v>8.1489399999999996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4247877.8045799993</v>
          </cell>
        </row>
        <row r="31">
          <cell r="BP31">
            <v>8525791.172460001</v>
          </cell>
        </row>
        <row r="32">
          <cell r="BP32">
            <v>1006123.63771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218300.67200999995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60219.444399999993</v>
          </cell>
        </row>
        <row r="89">
          <cell r="BP89">
            <v>-96274.504150000008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15642.105440000003</v>
          </cell>
          <cell r="F271">
            <v>18884.255580000001</v>
          </cell>
          <cell r="G271">
            <v>18282.320449999985</v>
          </cell>
          <cell r="H271">
            <v>18401.159810000012</v>
          </cell>
          <cell r="I271">
            <v>18111.689829999999</v>
          </cell>
          <cell r="J271">
            <v>31361.641570000011</v>
          </cell>
          <cell r="K271">
            <v>20357.919209999982</v>
          </cell>
          <cell r="L271">
            <v>20657.563920000004</v>
          </cell>
          <cell r="M271">
            <v>20039.401830000006</v>
          </cell>
          <cell r="N271">
            <v>20657.894930000006</v>
          </cell>
          <cell r="O271">
            <v>20004.489169999983</v>
          </cell>
          <cell r="P271">
            <v>21119.633760000022</v>
          </cell>
        </row>
        <row r="273">
          <cell r="E273">
            <v>3397.8662799999993</v>
          </cell>
          <cell r="F273">
            <v>-850.71125000000052</v>
          </cell>
          <cell r="G273">
            <v>917.37345999999968</v>
          </cell>
          <cell r="H273">
            <v>-806.50994999999955</v>
          </cell>
          <cell r="I273">
            <v>-767.94879000000026</v>
          </cell>
          <cell r="J273">
            <v>588.4310700000002</v>
          </cell>
          <cell r="K273">
            <v>697.7924500000006</v>
          </cell>
          <cell r="L273">
            <v>4628.0586200000016</v>
          </cell>
          <cell r="M273">
            <v>-802.3707400000003</v>
          </cell>
          <cell r="N273">
            <v>-1320.3749199999997</v>
          </cell>
          <cell r="O273">
            <v>443.49957000000006</v>
          </cell>
          <cell r="P273">
            <v>1927.2604200000003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4.0000000000000001E-3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2E-3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2.7E-2</v>
          </cell>
          <cell r="F320">
            <v>3.9640000000000002E-2</v>
          </cell>
          <cell r="G320">
            <v>3.5999999999999997E-2</v>
          </cell>
          <cell r="H320">
            <v>0.16409000000000001</v>
          </cell>
          <cell r="I320">
            <v>5.4699999999999999E-2</v>
          </cell>
          <cell r="J320">
            <v>4.0309999999999999E-2</v>
          </cell>
          <cell r="K320">
            <v>0.21819</v>
          </cell>
          <cell r="L320">
            <v>0.12105</v>
          </cell>
          <cell r="M320">
            <v>3.3000000000000002E-2</v>
          </cell>
          <cell r="N320">
            <v>4.6620000000000002E-2</v>
          </cell>
          <cell r="O320">
            <v>2.4E-2</v>
          </cell>
          <cell r="P320">
            <v>8.3000000000000004E-2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-0.60484000000002291</v>
          </cell>
          <cell r="F323">
            <v>-0.4441900000000204</v>
          </cell>
          <cell r="G323">
            <v>-1.4346299999999554</v>
          </cell>
          <cell r="H323">
            <v>3.4510000000005481E-2</v>
          </cell>
          <cell r="I323">
            <v>-0.46043999999998542</v>
          </cell>
          <cell r="J323">
            <v>-15.781760000000006</v>
          </cell>
          <cell r="K323">
            <v>-1.5491899999999386</v>
          </cell>
          <cell r="L323">
            <v>-0.78922000000000114</v>
          </cell>
          <cell r="M323">
            <v>-1.014439999999984</v>
          </cell>
          <cell r="N323">
            <v>-1.4306699999999606</v>
          </cell>
          <cell r="O323">
            <v>-7.4659999999977578E-2</v>
          </cell>
          <cell r="P323">
            <v>-0.18647000000002023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7.9003699999999526</v>
          </cell>
          <cell r="F329">
            <v>326.53910000000002</v>
          </cell>
          <cell r="G329">
            <v>52.539200000000029</v>
          </cell>
          <cell r="H329">
            <v>233.34949999999998</v>
          </cell>
          <cell r="I329">
            <v>326.19271000000003</v>
          </cell>
          <cell r="J329">
            <v>312.16333999999995</v>
          </cell>
          <cell r="K329">
            <v>9.0715399999999988</v>
          </cell>
          <cell r="L329">
            <v>361.42330000000004</v>
          </cell>
          <cell r="M329">
            <v>167.15764000000001</v>
          </cell>
          <cell r="N329">
            <v>45.430610000000058</v>
          </cell>
          <cell r="O329">
            <v>112.45299000000004</v>
          </cell>
          <cell r="P329">
            <v>90.023210000000006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0.621</v>
          </cell>
          <cell r="F333">
            <v>0.78300000000000003</v>
          </cell>
          <cell r="G333">
            <v>0.88200000000000001</v>
          </cell>
          <cell r="H333">
            <v>0.77700000000000002</v>
          </cell>
          <cell r="I333">
            <v>0.70499999999999996</v>
          </cell>
          <cell r="J333">
            <v>0.66900000000000004</v>
          </cell>
          <cell r="K333">
            <v>1.0289999999999999</v>
          </cell>
          <cell r="L333">
            <v>0.69399999999999995</v>
          </cell>
          <cell r="M333">
            <v>0.504</v>
          </cell>
          <cell r="N333">
            <v>0.40600000000000003</v>
          </cell>
          <cell r="O333">
            <v>0.34300000000000003</v>
          </cell>
          <cell r="P333">
            <v>0.66600000000000004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0.22</v>
          </cell>
          <cell r="F342">
            <v>0.39500000000000002</v>
          </cell>
          <cell r="G342">
            <v>0.38500000000000001</v>
          </cell>
          <cell r="H342">
            <v>0.42</v>
          </cell>
          <cell r="I342">
            <v>0.22</v>
          </cell>
          <cell r="J342">
            <v>0.4</v>
          </cell>
          <cell r="K342">
            <v>0.17499999999999999</v>
          </cell>
          <cell r="L342">
            <v>0.28000000000000003</v>
          </cell>
          <cell r="M342">
            <v>0.21</v>
          </cell>
          <cell r="N342">
            <v>0.23499999999999999</v>
          </cell>
          <cell r="O342">
            <v>0.38500000000000001</v>
          </cell>
          <cell r="P342">
            <v>0.125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194.60373000000001</v>
          </cell>
          <cell r="F345">
            <v>136.52384000000001</v>
          </cell>
          <cell r="G345">
            <v>-8.2662200000000166</v>
          </cell>
          <cell r="H345">
            <v>161.14627999999999</v>
          </cell>
          <cell r="I345">
            <v>245.00656000000004</v>
          </cell>
          <cell r="J345">
            <v>208.27304000000004</v>
          </cell>
          <cell r="K345">
            <v>102.20091000000001</v>
          </cell>
          <cell r="L345">
            <v>129.26920999999999</v>
          </cell>
          <cell r="M345">
            <v>163.71677</v>
          </cell>
          <cell r="N345">
            <v>325.75060999999999</v>
          </cell>
          <cell r="O345">
            <v>117.58561999999999</v>
          </cell>
          <cell r="P345">
            <v>231.26895000000002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5.32</v>
          </cell>
          <cell r="F350">
            <v>3.3250000000000002</v>
          </cell>
          <cell r="G350">
            <v>7.2450000000000001</v>
          </cell>
          <cell r="H350">
            <v>2.8849999999999998</v>
          </cell>
          <cell r="I350">
            <v>3.1150000000000002</v>
          </cell>
          <cell r="J350">
            <v>3.3450000000000002</v>
          </cell>
          <cell r="K350">
            <v>3.43</v>
          </cell>
          <cell r="L350">
            <v>2.38</v>
          </cell>
          <cell r="M350">
            <v>4.8949999999999996</v>
          </cell>
          <cell r="N350">
            <v>2.69</v>
          </cell>
          <cell r="O350">
            <v>2.71</v>
          </cell>
          <cell r="P350">
            <v>1.925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567.8827</v>
          </cell>
          <cell r="F355">
            <v>425.92192000000006</v>
          </cell>
          <cell r="G355">
            <v>429.17665000000005</v>
          </cell>
          <cell r="H355">
            <v>380.21458999999999</v>
          </cell>
          <cell r="I355">
            <v>402.64564999999999</v>
          </cell>
          <cell r="J355">
            <v>421.40449000000001</v>
          </cell>
          <cell r="K355">
            <v>385.99254999999994</v>
          </cell>
          <cell r="L355">
            <v>417.89103000000006</v>
          </cell>
          <cell r="M355">
            <v>381.21867000000003</v>
          </cell>
          <cell r="N355">
            <v>396.94162999999998</v>
          </cell>
          <cell r="O355">
            <v>387.89439000000004</v>
          </cell>
          <cell r="P355">
            <v>365.85507999999993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62.061360000000001</v>
          </cell>
          <cell r="F374">
            <v>7.2533599999999998</v>
          </cell>
          <cell r="G374">
            <v>223.39549000000002</v>
          </cell>
          <cell r="H374">
            <v>333.44668999999999</v>
          </cell>
          <cell r="I374">
            <v>20.571960000000001</v>
          </cell>
          <cell r="J374">
            <v>127.40268</v>
          </cell>
          <cell r="K374">
            <v>18.919920000000001</v>
          </cell>
          <cell r="L374">
            <v>59.980909999999994</v>
          </cell>
          <cell r="M374">
            <v>-18.551729999999999</v>
          </cell>
          <cell r="N374">
            <v>122.60520999999999</v>
          </cell>
          <cell r="O374">
            <v>141.23114999999999</v>
          </cell>
          <cell r="P374">
            <v>211.28298000000001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-79.507940000000005</v>
          </cell>
          <cell r="F378">
            <v>-76.416340000000005</v>
          </cell>
          <cell r="G378">
            <v>-71.407370000000014</v>
          </cell>
          <cell r="H378">
            <v>-86.094310000000007</v>
          </cell>
          <cell r="I378">
            <v>-88.539919999999981</v>
          </cell>
          <cell r="J378">
            <v>-85.661889999999985</v>
          </cell>
          <cell r="K378">
            <v>-74.23057</v>
          </cell>
          <cell r="L378">
            <v>-74.836679999999987</v>
          </cell>
          <cell r="M378">
            <v>-73.438160000000025</v>
          </cell>
          <cell r="N378">
            <v>-83.935900000000004</v>
          </cell>
          <cell r="O378">
            <v>-68.873049999999992</v>
          </cell>
          <cell r="P378">
            <v>-41.222580000000001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0.15480000000025029</v>
          </cell>
          <cell r="F383">
            <v>8.9269999999942229E-2</v>
          </cell>
          <cell r="G383">
            <v>6.2527760746888816E-13</v>
          </cell>
          <cell r="H383">
            <v>0.11826000000007753</v>
          </cell>
          <cell r="I383">
            <v>0.21399999999999864</v>
          </cell>
          <cell r="J383">
            <v>0.14413000000007514</v>
          </cell>
          <cell r="K383">
            <v>-6.4000000000021373E-2</v>
          </cell>
          <cell r="L383">
            <v>-5.6843418860808015E-14</v>
          </cell>
          <cell r="M383">
            <v>-1.7053025658242404E-13</v>
          </cell>
          <cell r="N383">
            <v>0.83826999999996588</v>
          </cell>
          <cell r="O383">
            <v>2.2462599999999497</v>
          </cell>
          <cell r="P383">
            <v>-8.8107299234252423E-13</v>
          </cell>
        </row>
        <row r="385">
          <cell r="E385">
            <v>-1509.3832995412688</v>
          </cell>
          <cell r="F385">
            <v>-1371.6697143359356</v>
          </cell>
          <cell r="G385">
            <v>-1075.6592581955817</v>
          </cell>
          <cell r="H385">
            <v>-1149.5309624767431</v>
          </cell>
          <cell r="I385">
            <v>-1434.1191991190635</v>
          </cell>
          <cell r="J385">
            <v>-1359.716557992723</v>
          </cell>
          <cell r="K385">
            <v>-1553.8913684497852</v>
          </cell>
          <cell r="L385">
            <v>-1394.023004941771</v>
          </cell>
          <cell r="M385">
            <v>-1471.230259448324</v>
          </cell>
          <cell r="N385">
            <v>-1768.4207006241847</v>
          </cell>
          <cell r="O385">
            <v>-1602.373005178139</v>
          </cell>
          <cell r="P385">
            <v>-1455.4336200536654</v>
          </cell>
        </row>
        <row r="386">
          <cell r="E386">
            <v>-3100.68936347004</v>
          </cell>
          <cell r="F386">
            <v>-3555.6196679994137</v>
          </cell>
          <cell r="G386">
            <v>-3241.1417077529427</v>
          </cell>
          <cell r="H386">
            <v>-2766.1705906681518</v>
          </cell>
          <cell r="I386">
            <v>-2835.7283839829283</v>
          </cell>
          <cell r="J386">
            <v>-2878.8749164887031</v>
          </cell>
          <cell r="K386">
            <v>-3254.9595061223777</v>
          </cell>
          <cell r="L386">
            <v>-3002.5082939499503</v>
          </cell>
          <cell r="M386">
            <v>-3493.1572659214035</v>
          </cell>
          <cell r="N386">
            <v>-2776.1651222108985</v>
          </cell>
          <cell r="O386">
            <v>-2770.0206244505216</v>
          </cell>
          <cell r="P386">
            <v>-3266.4173816210973</v>
          </cell>
        </row>
        <row r="387">
          <cell r="E387">
            <v>242.01768035948766</v>
          </cell>
          <cell r="F387">
            <v>231.65589207804013</v>
          </cell>
          <cell r="G387">
            <v>199.87074421804977</v>
          </cell>
          <cell r="H387">
            <v>-260.72525164399815</v>
          </cell>
          <cell r="I387">
            <v>-310.19620439034111</v>
          </cell>
          <cell r="J387">
            <v>259.89044152364892</v>
          </cell>
          <cell r="K387">
            <v>-287.38144847177472</v>
          </cell>
          <cell r="L387">
            <v>-208.26617297500781</v>
          </cell>
          <cell r="M387">
            <v>-215.16437231394559</v>
          </cell>
          <cell r="N387">
            <v>-316.12898963195084</v>
          </cell>
          <cell r="O387">
            <v>-278.93737370225722</v>
          </cell>
          <cell r="P387">
            <v>-160.91362802723353</v>
          </cell>
        </row>
        <row r="389">
          <cell r="E389">
            <v>-246.51443999999992</v>
          </cell>
          <cell r="F389">
            <v>1832.9672800000001</v>
          </cell>
          <cell r="G389">
            <v>9966.83367</v>
          </cell>
          <cell r="H389">
            <v>168.28634</v>
          </cell>
          <cell r="I389">
            <v>3414.0953600000003</v>
          </cell>
          <cell r="J389">
            <v>6247.3119999999999</v>
          </cell>
          <cell r="K389">
            <v>4386.2064700000001</v>
          </cell>
          <cell r="L389">
            <v>785.54360999999994</v>
          </cell>
          <cell r="M389">
            <v>5079.3700699999999</v>
          </cell>
          <cell r="N389">
            <v>-3230.8616800000004</v>
          </cell>
          <cell r="O389">
            <v>3107.3389199999997</v>
          </cell>
          <cell r="P389">
            <v>7900.0588699999998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10066.26489</v>
          </cell>
          <cell r="F391">
            <v>-19056.682679999998</v>
          </cell>
          <cell r="G391">
            <v>8860.738800000001</v>
          </cell>
          <cell r="H391">
            <v>6352.5653599999996</v>
          </cell>
          <cell r="I391">
            <v>-752.2564799999999</v>
          </cell>
          <cell r="J391">
            <v>-141.77580999999995</v>
          </cell>
          <cell r="K391">
            <v>78263.183239999998</v>
          </cell>
          <cell r="L391">
            <v>86.856339999999847</v>
          </cell>
          <cell r="M391">
            <v>233.91452999999979</v>
          </cell>
          <cell r="N391">
            <v>4430.3562899999997</v>
          </cell>
          <cell r="O391">
            <v>-2283.5387500000002</v>
          </cell>
          <cell r="P391">
            <v>-901.23552000000007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-8772.4959640718625</v>
          </cell>
          <cell r="F399">
            <v>1136.7530955900584</v>
          </cell>
          <cell r="G399">
            <v>-12024.887083394337</v>
          </cell>
          <cell r="H399">
            <v>-7272.8128538238871</v>
          </cell>
          <cell r="I399">
            <v>-5652.2165978776839</v>
          </cell>
          <cell r="J399">
            <v>-12202.132269964779</v>
          </cell>
          <cell r="K399">
            <v>-34603.796979934625</v>
          </cell>
          <cell r="L399">
            <v>-7792.2493013466456</v>
          </cell>
          <cell r="M399">
            <v>-6933.2981843107145</v>
          </cell>
          <cell r="N399">
            <v>-5704.9320901365381</v>
          </cell>
          <cell r="O399">
            <v>-5995.6090058341788</v>
          </cell>
          <cell r="P399">
            <v>-9042.8457001043007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16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17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10.95369</v>
          </cell>
        </row>
        <row r="29">
          <cell r="BP29">
            <v>0</v>
          </cell>
        </row>
        <row r="30">
          <cell r="BP30">
            <v>1288009.3521499999</v>
          </cell>
        </row>
        <row r="31">
          <cell r="BP31">
            <v>24629.932840000001</v>
          </cell>
        </row>
        <row r="32">
          <cell r="BP32">
            <v>30453.347840000002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5588813.75361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72102.259820000007</v>
          </cell>
        </row>
        <row r="89">
          <cell r="BP89">
            <v>-102291.21879000004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13506.151749999999</v>
          </cell>
          <cell r="F271">
            <v>12000.135210000002</v>
          </cell>
          <cell r="G271">
            <v>12928.161980000001</v>
          </cell>
          <cell r="H271">
            <v>14021.582569999997</v>
          </cell>
          <cell r="I271">
            <v>12912.328839999996</v>
          </cell>
          <cell r="J271">
            <v>12789.241639999998</v>
          </cell>
          <cell r="K271">
            <v>13447.366249999999</v>
          </cell>
          <cell r="L271">
            <v>13382.010969999999</v>
          </cell>
          <cell r="M271">
            <v>15211.333420000004</v>
          </cell>
          <cell r="N271">
            <v>13781.546060000001</v>
          </cell>
          <cell r="O271">
            <v>13646.259919999999</v>
          </cell>
          <cell r="P271">
            <v>14600.267280000009</v>
          </cell>
        </row>
        <row r="273">
          <cell r="E273">
            <v>128.62344999999999</v>
          </cell>
          <cell r="F273">
            <v>212.53208000000006</v>
          </cell>
          <cell r="G273">
            <v>177.57372999999998</v>
          </cell>
          <cell r="H273">
            <v>353.5721299999999</v>
          </cell>
          <cell r="I273">
            <v>161.19836999999998</v>
          </cell>
          <cell r="J273">
            <v>535.98111999999992</v>
          </cell>
          <cell r="K273">
            <v>355.99995999999999</v>
          </cell>
          <cell r="L273">
            <v>211.48786999999999</v>
          </cell>
          <cell r="M273">
            <v>895.00959000000012</v>
          </cell>
          <cell r="N273">
            <v>77.100380000000001</v>
          </cell>
          <cell r="O273">
            <v>299.62121000000002</v>
          </cell>
          <cell r="P273">
            <v>1081.10841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2E-3</v>
          </cell>
          <cell r="F319">
            <v>4.0000000000000001E-3</v>
          </cell>
          <cell r="G319">
            <v>1.4E-2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2E-3</v>
          </cell>
          <cell r="N319">
            <v>2E-3</v>
          </cell>
          <cell r="O319">
            <v>0</v>
          </cell>
          <cell r="P319">
            <v>0</v>
          </cell>
        </row>
        <row r="320">
          <cell r="E320">
            <v>0.53358000000000005</v>
          </cell>
          <cell r="F320">
            <v>0.39588999999999996</v>
          </cell>
          <cell r="G320">
            <v>0.41992000000000002</v>
          </cell>
          <cell r="H320">
            <v>0.37547000000000003</v>
          </cell>
          <cell r="I320">
            <v>0.57686000000000015</v>
          </cell>
          <cell r="J320">
            <v>1.1176900000000001</v>
          </cell>
          <cell r="K320">
            <v>0.59965000000000002</v>
          </cell>
          <cell r="L320">
            <v>0.30758000000000002</v>
          </cell>
          <cell r="M320">
            <v>0.96125000000000005</v>
          </cell>
          <cell r="N320">
            <v>0.27149000000000001</v>
          </cell>
          <cell r="O320">
            <v>0.44267000000000001</v>
          </cell>
          <cell r="P320">
            <v>0.43010999999999999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-15.808259999999521</v>
          </cell>
          <cell r="F323">
            <v>-10.558959999999971</v>
          </cell>
          <cell r="G323">
            <v>-29.583269999999843</v>
          </cell>
          <cell r="H323">
            <v>-6.4930900000003788</v>
          </cell>
          <cell r="I323">
            <v>-12.73863000000029</v>
          </cell>
          <cell r="J323">
            <v>-14.427540000000036</v>
          </cell>
          <cell r="K323">
            <v>-9.1767300000004361</v>
          </cell>
          <cell r="L323">
            <v>-20.850260000000034</v>
          </cell>
          <cell r="M323">
            <v>-10.500180000000132</v>
          </cell>
          <cell r="N323">
            <v>-3.9103800000001314</v>
          </cell>
          <cell r="O323">
            <v>-14.99563999999998</v>
          </cell>
          <cell r="P323">
            <v>-20.659039999999905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995.31258999999989</v>
          </cell>
          <cell r="F329">
            <v>931.6720499999999</v>
          </cell>
          <cell r="G329">
            <v>977.0293999999999</v>
          </cell>
          <cell r="H329">
            <v>1424.7633399999995</v>
          </cell>
          <cell r="I329">
            <v>1178.7335600000001</v>
          </cell>
          <cell r="J329">
            <v>1543.2086999999999</v>
          </cell>
          <cell r="K329">
            <v>817.70456999999988</v>
          </cell>
          <cell r="L329">
            <v>1125.8830500000004</v>
          </cell>
          <cell r="M329">
            <v>1247.4425400000002</v>
          </cell>
          <cell r="N329">
            <v>1127.5321100000006</v>
          </cell>
          <cell r="O329">
            <v>1245.4368599999998</v>
          </cell>
          <cell r="P329">
            <v>975.69346000000019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50.342220000000005</v>
          </cell>
          <cell r="F333">
            <v>37.200879999999998</v>
          </cell>
          <cell r="G333">
            <v>1.4179999999999999</v>
          </cell>
          <cell r="H333">
            <v>70.136259999999993</v>
          </cell>
          <cell r="I333">
            <v>24.363959999999999</v>
          </cell>
          <cell r="J333">
            <v>53.862599999999993</v>
          </cell>
          <cell r="K333">
            <v>38.754879999999993</v>
          </cell>
          <cell r="L333">
            <v>42.235059999999997</v>
          </cell>
          <cell r="M333">
            <v>39.929789999999997</v>
          </cell>
          <cell r="N333">
            <v>42.005290000000002</v>
          </cell>
          <cell r="O333">
            <v>48.249930000000006</v>
          </cell>
          <cell r="P333">
            <v>38.106669999999994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2.57199</v>
          </cell>
          <cell r="F342">
            <v>0.83499999999999996</v>
          </cell>
          <cell r="G342">
            <v>1.7350000000000001</v>
          </cell>
          <cell r="H342">
            <v>0.89500000000000002</v>
          </cell>
          <cell r="I342">
            <v>1.845</v>
          </cell>
          <cell r="J342">
            <v>1.4350000000000001</v>
          </cell>
          <cell r="K342">
            <v>0.755</v>
          </cell>
          <cell r="L342">
            <v>1.2749999999999999</v>
          </cell>
          <cell r="M342">
            <v>0.375</v>
          </cell>
          <cell r="N342">
            <v>1.3149999999999999</v>
          </cell>
          <cell r="O342">
            <v>1.1499999999999999</v>
          </cell>
          <cell r="P342">
            <v>1.0549999999999999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274.62458000000004</v>
          </cell>
          <cell r="F345">
            <v>347.90047999999996</v>
          </cell>
          <cell r="G345">
            <v>449.76569000000001</v>
          </cell>
          <cell r="H345">
            <v>663.62159000000008</v>
          </cell>
          <cell r="I345">
            <v>233.3954</v>
          </cell>
          <cell r="J345">
            <v>341.28158000000002</v>
          </cell>
          <cell r="K345">
            <v>453.19909000000001</v>
          </cell>
          <cell r="L345">
            <v>344.32256000000007</v>
          </cell>
          <cell r="M345">
            <v>482.82964999999996</v>
          </cell>
          <cell r="N345">
            <v>683.24718999999993</v>
          </cell>
          <cell r="O345">
            <v>201.52243999999999</v>
          </cell>
          <cell r="P345">
            <v>207.01010000000002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27.475000000000001</v>
          </cell>
          <cell r="F350">
            <v>12.04</v>
          </cell>
          <cell r="G350">
            <v>12.635</v>
          </cell>
          <cell r="H350">
            <v>7.47</v>
          </cell>
          <cell r="I350">
            <v>9.9109999999999996</v>
          </cell>
          <cell r="J350">
            <v>14.135</v>
          </cell>
          <cell r="K350">
            <v>15.41</v>
          </cell>
          <cell r="L350">
            <v>13.69</v>
          </cell>
          <cell r="M350">
            <v>13.675000000000001</v>
          </cell>
          <cell r="N350">
            <v>15.98</v>
          </cell>
          <cell r="O350">
            <v>9.66</v>
          </cell>
          <cell r="P350">
            <v>15.975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1784.2524599999997</v>
          </cell>
          <cell r="F355">
            <v>1469.3600799999999</v>
          </cell>
          <cell r="G355">
            <v>1427.7956400000003</v>
          </cell>
          <cell r="H355">
            <v>1609.2146900000002</v>
          </cell>
          <cell r="I355">
            <v>1514.3039600000004</v>
          </cell>
          <cell r="J355">
            <v>1476.3545100000001</v>
          </cell>
          <cell r="K355">
            <v>1671.9711500000008</v>
          </cell>
          <cell r="L355">
            <v>1526.2785799999999</v>
          </cell>
          <cell r="M355">
            <v>1405.1974700000003</v>
          </cell>
          <cell r="N355">
            <v>1613.1070199999999</v>
          </cell>
          <cell r="O355">
            <v>1497.1835000000001</v>
          </cell>
          <cell r="P355">
            <v>1372.88408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-2.93E-2</v>
          </cell>
        </row>
        <row r="362">
          <cell r="E362">
            <v>4.2560000000000001E-2</v>
          </cell>
          <cell r="F362">
            <v>4.2819999999999997E-2</v>
          </cell>
          <cell r="G362">
            <v>0</v>
          </cell>
          <cell r="H362">
            <v>8.6470000000000005E-2</v>
          </cell>
          <cell r="I362">
            <v>4.3639999999999998E-2</v>
          </cell>
          <cell r="J362">
            <v>4.3920000000000001E-2</v>
          </cell>
          <cell r="K362">
            <v>8.5039999999999991E-2</v>
          </cell>
          <cell r="L362">
            <v>4.4480000000000006E-2</v>
          </cell>
          <cell r="M362">
            <v>0</v>
          </cell>
          <cell r="N362">
            <v>2.0000000000000002E-5</v>
          </cell>
          <cell r="O362">
            <v>0.13516</v>
          </cell>
          <cell r="P362">
            <v>0.10341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255.60835000000003</v>
          </cell>
          <cell r="F374">
            <v>165.10624000000001</v>
          </cell>
          <cell r="G374">
            <v>445.8884000000001</v>
          </cell>
          <cell r="H374">
            <v>460.29129</v>
          </cell>
          <cell r="I374">
            <v>483.66542000000004</v>
          </cell>
          <cell r="J374">
            <v>452.11577999999997</v>
          </cell>
          <cell r="K374">
            <v>789.02197000000012</v>
          </cell>
          <cell r="L374">
            <v>455.09305000000001</v>
          </cell>
          <cell r="M374">
            <v>42.419830000000012</v>
          </cell>
          <cell r="N374">
            <v>421.66321999999991</v>
          </cell>
          <cell r="O374">
            <v>113.71709000000001</v>
          </cell>
          <cell r="P374">
            <v>613.57269000000008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-334.28309000000002</v>
          </cell>
          <cell r="F378">
            <v>-321.28481999999997</v>
          </cell>
          <cell r="G378">
            <v>-300.22500000000008</v>
          </cell>
          <cell r="H378">
            <v>-356.42021000000005</v>
          </cell>
          <cell r="I378">
            <v>-366.54473999999993</v>
          </cell>
          <cell r="J378">
            <v>-354.63015000000007</v>
          </cell>
          <cell r="K378">
            <v>-323.94819000000001</v>
          </cell>
          <cell r="L378">
            <v>-326.59339999999997</v>
          </cell>
          <cell r="M378">
            <v>-320.49011999999993</v>
          </cell>
          <cell r="N378">
            <v>-318.6680199999999</v>
          </cell>
          <cell r="O378">
            <v>-261.48093999999998</v>
          </cell>
          <cell r="P378">
            <v>-156.50413000000003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298.29517999999996</v>
          </cell>
          <cell r="F383">
            <v>22.294930000000001</v>
          </cell>
          <cell r="G383">
            <v>79.899860000000004</v>
          </cell>
          <cell r="H383">
            <v>76.202679999999987</v>
          </cell>
          <cell r="I383">
            <v>723.98430999999994</v>
          </cell>
          <cell r="J383">
            <v>49.701210000000003</v>
          </cell>
          <cell r="K383">
            <v>30.746270000000003</v>
          </cell>
          <cell r="L383">
            <v>30.447689999999998</v>
          </cell>
          <cell r="M383">
            <v>2.4837299999999995</v>
          </cell>
          <cell r="N383">
            <v>1761.3439000000001</v>
          </cell>
          <cell r="O383">
            <v>0.85788000000000153</v>
          </cell>
          <cell r="P383">
            <v>9.7715700000000005</v>
          </cell>
        </row>
        <row r="385">
          <cell r="E385">
            <v>-6215.777547442739</v>
          </cell>
          <cell r="F385">
            <v>-3620.0089026613814</v>
          </cell>
          <cell r="G385">
            <v>-5423.4862909665626</v>
          </cell>
          <cell r="H385">
            <v>-4992.0557504638946</v>
          </cell>
          <cell r="I385">
            <v>-5629.7577236542156</v>
          </cell>
          <cell r="J385">
            <v>-5470.2506591006004</v>
          </cell>
          <cell r="K385">
            <v>-5707.2646829818696</v>
          </cell>
          <cell r="L385">
            <v>-4308.7046794291064</v>
          </cell>
          <cell r="M385">
            <v>-5867.3325805579543</v>
          </cell>
          <cell r="N385">
            <v>-7429.2585333208381</v>
          </cell>
          <cell r="O385">
            <v>-6059.72446742182</v>
          </cell>
          <cell r="P385">
            <v>-3183.3742786944085</v>
          </cell>
        </row>
        <row r="386">
          <cell r="E386">
            <v>-4729.8083858015216</v>
          </cell>
          <cell r="F386">
            <v>-5134.764587725721</v>
          </cell>
          <cell r="G386">
            <v>-4451.1604946649304</v>
          </cell>
          <cell r="H386">
            <v>-4637.2540921501104</v>
          </cell>
          <cell r="I386">
            <v>-4186.8954225190719</v>
          </cell>
          <cell r="J386">
            <v>-4557.2267945717449</v>
          </cell>
          <cell r="K386">
            <v>-4801.4779956129714</v>
          </cell>
          <cell r="L386">
            <v>-4263.3075515844057</v>
          </cell>
          <cell r="M386">
            <v>-5683.4718987320421</v>
          </cell>
          <cell r="N386">
            <v>-4684.4811771909281</v>
          </cell>
          <cell r="O386">
            <v>-4561.3726523449823</v>
          </cell>
          <cell r="P386">
            <v>-5857.1795592746294</v>
          </cell>
        </row>
        <row r="387">
          <cell r="E387">
            <v>128.17902448468482</v>
          </cell>
          <cell r="F387">
            <v>125.64481160049554</v>
          </cell>
          <cell r="G387">
            <v>64.246999776976168</v>
          </cell>
          <cell r="H387">
            <v>-660.77245265492945</v>
          </cell>
          <cell r="I387">
            <v>-728.48533365647495</v>
          </cell>
          <cell r="J387">
            <v>115.88345239730927</v>
          </cell>
          <cell r="K387">
            <v>-672.83473277986491</v>
          </cell>
          <cell r="L387">
            <v>-538.30495609671993</v>
          </cell>
          <cell r="M387">
            <v>-557.99395296634566</v>
          </cell>
          <cell r="N387">
            <v>-698.40963830166629</v>
          </cell>
          <cell r="O387">
            <v>-635.62845304621908</v>
          </cell>
          <cell r="P387">
            <v>-469.07484893020961</v>
          </cell>
        </row>
        <row r="389">
          <cell r="E389">
            <v>-11225.850130000001</v>
          </cell>
          <cell r="F389">
            <v>182.83453000000003</v>
          </cell>
          <cell r="G389">
            <v>-4763.6577299999999</v>
          </cell>
          <cell r="H389">
            <v>-3896.5548799999997</v>
          </cell>
          <cell r="I389">
            <v>2749.7669499999993</v>
          </cell>
          <cell r="J389">
            <v>-2637.4752399999998</v>
          </cell>
          <cell r="K389">
            <v>-9288.1676599999992</v>
          </cell>
          <cell r="L389">
            <v>-1912.9908400000004</v>
          </cell>
          <cell r="M389">
            <v>-873.97522000000004</v>
          </cell>
          <cell r="N389">
            <v>10398.903030000001</v>
          </cell>
          <cell r="O389">
            <v>-8689.9707200000012</v>
          </cell>
          <cell r="P389">
            <v>16314.816859999999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3638.6441399999999</v>
          </cell>
          <cell r="F391">
            <v>1805.41065</v>
          </cell>
          <cell r="G391">
            <v>2618.5014000000006</v>
          </cell>
          <cell r="H391">
            <v>6191.00882</v>
          </cell>
          <cell r="I391">
            <v>-5164.2848600000007</v>
          </cell>
          <cell r="J391">
            <v>3820.6990999999994</v>
          </cell>
          <cell r="K391">
            <v>-2843.8323199999995</v>
          </cell>
          <cell r="L391">
            <v>3654.5526400000003</v>
          </cell>
          <cell r="M391">
            <v>-13753.954899999999</v>
          </cell>
          <cell r="N391">
            <v>1146.3540099999993</v>
          </cell>
          <cell r="O391">
            <v>6640.023769999998</v>
          </cell>
          <cell r="P391">
            <v>-18958.481299999999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604.08236906585148</v>
          </cell>
          <cell r="F399">
            <v>-2773.7592769246876</v>
          </cell>
          <cell r="G399">
            <v>-1372.8432959509191</v>
          </cell>
          <cell r="H399">
            <v>-3477.7099251558734</v>
          </cell>
          <cell r="I399">
            <v>-1226.3904310595838</v>
          </cell>
          <cell r="J399">
            <v>-2736.6111820537371</v>
          </cell>
          <cell r="K399">
            <v>2217.7152194811488</v>
          </cell>
          <cell r="L399">
            <v>-3191.8747510114172</v>
          </cell>
          <cell r="M399">
            <v>2808.1904197897206</v>
          </cell>
          <cell r="N399">
            <v>-6174.3860779152992</v>
          </cell>
          <cell r="O399">
            <v>-1105.5099405154419</v>
          </cell>
          <cell r="P399">
            <v>-2181.6987520852631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18" refreshError="1">
        <row r="16">
          <cell r="BP16">
            <v>6.6502000000000008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1591979.9364700001</v>
          </cell>
        </row>
        <row r="31">
          <cell r="BP31">
            <v>109493.17902000001</v>
          </cell>
        </row>
        <row r="32">
          <cell r="BP32">
            <v>5396.6302399999995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3533728.6441100007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56531.156439999999</v>
          </cell>
        </row>
        <row r="89">
          <cell r="BP89">
            <v>-59006.417019999993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13170.714869999998</v>
          </cell>
          <cell r="F271">
            <v>11938.492630000001</v>
          </cell>
          <cell r="G271">
            <v>13679.495269999999</v>
          </cell>
          <cell r="H271">
            <v>12951.860340000003</v>
          </cell>
          <cell r="I271">
            <v>13327.080820000001</v>
          </cell>
          <cell r="J271">
            <v>13026.341939999998</v>
          </cell>
          <cell r="K271">
            <v>14166.89882</v>
          </cell>
          <cell r="L271">
            <v>14191.218069999997</v>
          </cell>
          <cell r="M271">
            <v>13915.733639999995</v>
          </cell>
          <cell r="N271">
            <v>14658.06754</v>
          </cell>
          <cell r="O271">
            <v>13938.979780000005</v>
          </cell>
          <cell r="P271">
            <v>15088.745210000001</v>
          </cell>
        </row>
        <row r="273">
          <cell r="E273">
            <v>-379.74862999999993</v>
          </cell>
          <cell r="F273">
            <v>-462.40147000000002</v>
          </cell>
          <cell r="G273">
            <v>-168.45944</v>
          </cell>
          <cell r="H273">
            <v>-293.31907999999999</v>
          </cell>
          <cell r="I273">
            <v>-467.95854999999995</v>
          </cell>
          <cell r="J273">
            <v>-527.23928999999998</v>
          </cell>
          <cell r="K273">
            <v>-373.81919000000005</v>
          </cell>
          <cell r="L273">
            <v>-515.54440000000011</v>
          </cell>
          <cell r="M273">
            <v>-471.53498999999994</v>
          </cell>
          <cell r="N273">
            <v>-258.11497999999995</v>
          </cell>
          <cell r="O273">
            <v>-1352.39815</v>
          </cell>
          <cell r="P273">
            <v>-460.82839000000001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0.01</v>
          </cell>
          <cell r="F319">
            <v>0.02</v>
          </cell>
          <cell r="G319">
            <v>1.4E-2</v>
          </cell>
          <cell r="H319">
            <v>8.0000000000000002E-3</v>
          </cell>
          <cell r="I319">
            <v>3.4000000000000002E-2</v>
          </cell>
          <cell r="J319">
            <v>1.7999999999999999E-2</v>
          </cell>
          <cell r="K319">
            <v>1.7999999999999999E-2</v>
          </cell>
          <cell r="L319">
            <v>1.7999999999999999E-2</v>
          </cell>
          <cell r="M319">
            <v>2.5999999999999999E-2</v>
          </cell>
          <cell r="N319">
            <v>1.4E-2</v>
          </cell>
          <cell r="O319">
            <v>1.7999999999999999E-2</v>
          </cell>
          <cell r="P319">
            <v>3.2000000000000001E-2</v>
          </cell>
        </row>
        <row r="320">
          <cell r="E320">
            <v>0.73715000000000008</v>
          </cell>
          <cell r="F320">
            <v>2.32613</v>
          </cell>
          <cell r="G320">
            <v>3.5045500000000001</v>
          </cell>
          <cell r="H320">
            <v>2.12696</v>
          </cell>
          <cell r="I320">
            <v>2.88653</v>
          </cell>
          <cell r="J320">
            <v>2.3180800000000001</v>
          </cell>
          <cell r="K320">
            <v>1.8342800000000001</v>
          </cell>
          <cell r="L320">
            <v>2.2684099999999998</v>
          </cell>
          <cell r="M320">
            <v>2.4705900000000001</v>
          </cell>
          <cell r="N320">
            <v>1.6920999999999999</v>
          </cell>
          <cell r="O320">
            <v>1.62364</v>
          </cell>
          <cell r="P320">
            <v>0.96017999999999992</v>
          </cell>
        </row>
        <row r="321">
          <cell r="E321">
            <v>14.46625</v>
          </cell>
          <cell r="F321">
            <v>16.910599999999999</v>
          </cell>
          <cell r="G321">
            <v>17.61863</v>
          </cell>
          <cell r="H321">
            <v>17.499970000000001</v>
          </cell>
          <cell r="I321">
            <v>17.035019999999999</v>
          </cell>
          <cell r="J321">
            <v>15.03952</v>
          </cell>
          <cell r="K321">
            <v>15.02045</v>
          </cell>
          <cell r="L321">
            <v>15.4787</v>
          </cell>
          <cell r="M321">
            <v>14.59431</v>
          </cell>
          <cell r="N321">
            <v>21.0639</v>
          </cell>
          <cell r="O321">
            <v>10.62984</v>
          </cell>
          <cell r="P321">
            <v>17.599799999999998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3.0963299999999654</v>
          </cell>
          <cell r="F323">
            <v>-10.24192</v>
          </cell>
          <cell r="G323">
            <v>-7.8948200000000721</v>
          </cell>
          <cell r="H323">
            <v>9.8620399999999329</v>
          </cell>
          <cell r="I323">
            <v>-3.2483000000002473</v>
          </cell>
          <cell r="J323">
            <v>-18.006070000000072</v>
          </cell>
          <cell r="K323">
            <v>6.8432200000000911</v>
          </cell>
          <cell r="L323">
            <v>-10.204539999999906</v>
          </cell>
          <cell r="M323">
            <v>-4.0273899999998637</v>
          </cell>
          <cell r="N323">
            <v>-0.77354999999998619</v>
          </cell>
          <cell r="O323">
            <v>-3.2767299999999606</v>
          </cell>
          <cell r="P323">
            <v>-13.651940000000135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99.401489999999995</v>
          </cell>
          <cell r="F329">
            <v>95.901719999999997</v>
          </cell>
          <cell r="G329">
            <v>768.55649000000005</v>
          </cell>
          <cell r="H329">
            <v>120.77848000000002</v>
          </cell>
          <cell r="I329">
            <v>174.11004999999997</v>
          </cell>
          <cell r="J329">
            <v>89.303199999999975</v>
          </cell>
          <cell r="K329">
            <v>138.69731999999999</v>
          </cell>
          <cell r="L329">
            <v>100.05271999999998</v>
          </cell>
          <cell r="M329">
            <v>100.47201000000005</v>
          </cell>
          <cell r="N329">
            <v>135.03121999999996</v>
          </cell>
          <cell r="O329">
            <v>112.70382000000001</v>
          </cell>
          <cell r="P329">
            <v>139.09191000000001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1.845</v>
          </cell>
          <cell r="F333">
            <v>1.921</v>
          </cell>
          <cell r="G333">
            <v>1.9990000000000001</v>
          </cell>
          <cell r="H333">
            <v>2.181</v>
          </cell>
          <cell r="I333">
            <v>1.3680000000000001</v>
          </cell>
          <cell r="J333">
            <v>2.0419999999999998</v>
          </cell>
          <cell r="K333">
            <v>2.0350000000000001</v>
          </cell>
          <cell r="L333">
            <v>1.706</v>
          </cell>
          <cell r="M333">
            <v>1.885</v>
          </cell>
          <cell r="N333">
            <v>1.994</v>
          </cell>
          <cell r="O333">
            <v>1.6719999999999999</v>
          </cell>
          <cell r="P333">
            <v>2.09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14.7</v>
          </cell>
          <cell r="F342">
            <v>9.66</v>
          </cell>
          <cell r="G342">
            <v>10.285</v>
          </cell>
          <cell r="H342">
            <v>6.28</v>
          </cell>
          <cell r="I342">
            <v>6.6</v>
          </cell>
          <cell r="J342">
            <v>5.9649999999999999</v>
          </cell>
          <cell r="K342">
            <v>8.06</v>
          </cell>
          <cell r="L342">
            <v>5.97</v>
          </cell>
          <cell r="M342">
            <v>6.665</v>
          </cell>
          <cell r="N342">
            <v>5.3050200000000007</v>
          </cell>
          <cell r="O342">
            <v>5.7249999999999996</v>
          </cell>
          <cell r="P342">
            <v>4.5750000000000002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50.711680000000001</v>
          </cell>
          <cell r="F345">
            <v>43.66704</v>
          </cell>
          <cell r="G345">
            <v>47.278550000000003</v>
          </cell>
          <cell r="H345">
            <v>43.800570000000008</v>
          </cell>
          <cell r="I345">
            <v>54.182769999999998</v>
          </cell>
          <cell r="J345">
            <v>48.326279999999997</v>
          </cell>
          <cell r="K345">
            <v>54.639249999999997</v>
          </cell>
          <cell r="L345">
            <v>69.027640000000005</v>
          </cell>
          <cell r="M345">
            <v>72.311519999999987</v>
          </cell>
          <cell r="N345">
            <v>43.595680000000009</v>
          </cell>
          <cell r="O345">
            <v>36.068840000000002</v>
          </cell>
          <cell r="P345">
            <v>62.991829999999993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114.3635</v>
          </cell>
          <cell r="F350">
            <v>108.22</v>
          </cell>
          <cell r="G350">
            <v>99.715000000000003</v>
          </cell>
          <cell r="H350">
            <v>71.569999999999993</v>
          </cell>
          <cell r="I350">
            <v>56.505000000000003</v>
          </cell>
          <cell r="J350">
            <v>50.24</v>
          </cell>
          <cell r="K350">
            <v>56.774999999999999</v>
          </cell>
          <cell r="L350">
            <v>62.125</v>
          </cell>
          <cell r="M350">
            <v>66.680999999999997</v>
          </cell>
          <cell r="N350">
            <v>62.28</v>
          </cell>
          <cell r="O350">
            <v>58.835000000000001</v>
          </cell>
          <cell r="P350">
            <v>57.89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842.34334000000001</v>
          </cell>
          <cell r="F355">
            <v>775.82870000000003</v>
          </cell>
          <cell r="G355">
            <v>781.17193000000009</v>
          </cell>
          <cell r="H355">
            <v>823.26746000000003</v>
          </cell>
          <cell r="I355">
            <v>817.22774000000015</v>
          </cell>
          <cell r="J355">
            <v>816.3266900000001</v>
          </cell>
          <cell r="K355">
            <v>860.47947999999997</v>
          </cell>
          <cell r="L355">
            <v>860.03356000000008</v>
          </cell>
          <cell r="M355">
            <v>793.79205999999999</v>
          </cell>
          <cell r="N355">
            <v>831.36040000000003</v>
          </cell>
          <cell r="O355">
            <v>811.66339999999991</v>
          </cell>
          <cell r="P355">
            <v>791.17570000000012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0.05</v>
          </cell>
          <cell r="F359">
            <v>0</v>
          </cell>
          <cell r="G359">
            <v>1.4999999999999999E-2</v>
          </cell>
          <cell r="H359">
            <v>-0.05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-0.16847999999999999</v>
          </cell>
          <cell r="N359">
            <v>25.94407</v>
          </cell>
          <cell r="O359">
            <v>25.553690000000003</v>
          </cell>
          <cell r="P359">
            <v>27.578119999999998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84.142920000000004</v>
          </cell>
          <cell r="F374">
            <v>31.991340000000001</v>
          </cell>
          <cell r="G374">
            <v>27.469429999999999</v>
          </cell>
          <cell r="H374">
            <v>62.306150000000002</v>
          </cell>
          <cell r="I374">
            <v>8.2923100000000005</v>
          </cell>
          <cell r="J374">
            <v>49.98556</v>
          </cell>
          <cell r="K374">
            <v>25.961980000000001</v>
          </cell>
          <cell r="L374">
            <v>24.56259</v>
          </cell>
          <cell r="M374">
            <v>8.3022300000000016</v>
          </cell>
          <cell r="N374">
            <v>20.42615</v>
          </cell>
          <cell r="O374">
            <v>29.003599999999999</v>
          </cell>
          <cell r="P374">
            <v>29.311779999999999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-190.74897999999999</v>
          </cell>
          <cell r="F378">
            <v>-183.33183</v>
          </cell>
          <cell r="G378">
            <v>-171.31459000000001</v>
          </cell>
          <cell r="H378">
            <v>-188.49484000000001</v>
          </cell>
          <cell r="I378">
            <v>-193.84926000000002</v>
          </cell>
          <cell r="J378">
            <v>-187.54811999999998</v>
          </cell>
          <cell r="K378">
            <v>-171.95102</v>
          </cell>
          <cell r="L378">
            <v>-173.35509000000002</v>
          </cell>
          <cell r="M378">
            <v>-170.11551</v>
          </cell>
          <cell r="N378">
            <v>-183.32972000000001</v>
          </cell>
          <cell r="O378">
            <v>-150.42999000000003</v>
          </cell>
          <cell r="P378">
            <v>-90.036810000000017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-15.532450000000001</v>
          </cell>
          <cell r="F383">
            <v>-5.3161300000000002</v>
          </cell>
          <cell r="G383">
            <v>-33.567540000000001</v>
          </cell>
          <cell r="H383">
            <v>-18.486649999999997</v>
          </cell>
          <cell r="I383">
            <v>21.138590000000001</v>
          </cell>
          <cell r="J383">
            <v>-21.40907</v>
          </cell>
          <cell r="K383">
            <v>-383.20465000000002</v>
          </cell>
          <cell r="L383">
            <v>25.754450000000002</v>
          </cell>
          <cell r="M383">
            <v>58.844800000000006</v>
          </cell>
          <cell r="N383">
            <v>-4.0681700000000003</v>
          </cell>
          <cell r="O383">
            <v>93.120730000000009</v>
          </cell>
          <cell r="P383">
            <v>20.68186</v>
          </cell>
        </row>
        <row r="385">
          <cell r="E385">
            <v>-3313.8447739318817</v>
          </cell>
          <cell r="F385">
            <v>-4337.9054483722521</v>
          </cell>
          <cell r="G385">
            <v>-2368.4572787702059</v>
          </cell>
          <cell r="H385">
            <v>-2271.3211880271656</v>
          </cell>
          <cell r="I385">
            <v>-2823.3069393112037</v>
          </cell>
          <cell r="J385">
            <v>-2308.9494053534654</v>
          </cell>
          <cell r="K385">
            <v>-2626.8827616614712</v>
          </cell>
          <cell r="L385">
            <v>-3611.1852916437042</v>
          </cell>
          <cell r="M385">
            <v>-2696.0546646167181</v>
          </cell>
          <cell r="N385">
            <v>-4526.4824389349887</v>
          </cell>
          <cell r="O385">
            <v>-2697.0721029681526</v>
          </cell>
          <cell r="P385">
            <v>-2858.034595905377</v>
          </cell>
        </row>
        <row r="386">
          <cell r="E386">
            <v>-4454.8745343744295</v>
          </cell>
          <cell r="F386">
            <v>-4870.6598103961151</v>
          </cell>
          <cell r="G386">
            <v>-4557.5195208723817</v>
          </cell>
          <cell r="H386">
            <v>-4349.8358551079309</v>
          </cell>
          <cell r="I386">
            <v>-4273.4667814742006</v>
          </cell>
          <cell r="J386">
            <v>-5797.2924625321421</v>
          </cell>
          <cell r="K386">
            <v>-3874.4815025367802</v>
          </cell>
          <cell r="L386">
            <v>-5007.2239050892886</v>
          </cell>
          <cell r="M386">
            <v>-5499.342168705045</v>
          </cell>
          <cell r="N386">
            <v>-4067.4258934964073</v>
          </cell>
          <cell r="O386">
            <v>-4008.0201815129872</v>
          </cell>
          <cell r="P386">
            <v>-4792.1203441564367</v>
          </cell>
        </row>
        <row r="387">
          <cell r="E387">
            <v>123.5839667817505</v>
          </cell>
          <cell r="F387">
            <v>119.78884439645742</v>
          </cell>
          <cell r="G387">
            <v>70.081647540450504</v>
          </cell>
          <cell r="H387">
            <v>-507.16563602225074</v>
          </cell>
          <cell r="I387">
            <v>-558.12753254754762</v>
          </cell>
          <cell r="J387">
            <v>153.05224178250734</v>
          </cell>
          <cell r="K387">
            <v>-530.96923279285352</v>
          </cell>
          <cell r="L387">
            <v>-424.80938459176286</v>
          </cell>
          <cell r="M387">
            <v>-429.94612451578752</v>
          </cell>
          <cell r="N387">
            <v>-549.55285396847648</v>
          </cell>
          <cell r="O387">
            <v>-505.65179349466547</v>
          </cell>
          <cell r="P387">
            <v>-367.03713038120543</v>
          </cell>
        </row>
        <row r="389">
          <cell r="E389">
            <v>-2538.0709200000006</v>
          </cell>
          <cell r="F389">
            <v>662.96114999999998</v>
          </cell>
          <cell r="G389">
            <v>2141.3905200000004</v>
          </cell>
          <cell r="H389">
            <v>-4458.5997499999994</v>
          </cell>
          <cell r="I389">
            <v>-473.11881000000005</v>
          </cell>
          <cell r="J389">
            <v>1370.5541499999997</v>
          </cell>
          <cell r="K389">
            <v>-563.76188999999999</v>
          </cell>
          <cell r="L389">
            <v>121.16743000000002</v>
          </cell>
          <cell r="M389">
            <v>-730.03304999999955</v>
          </cell>
          <cell r="N389">
            <v>-1723.14014</v>
          </cell>
          <cell r="O389">
            <v>-2000.68282</v>
          </cell>
          <cell r="P389">
            <v>-1624.2474000000002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1691.61367</v>
          </cell>
          <cell r="F391">
            <v>-92.207170000000048</v>
          </cell>
          <cell r="G391">
            <v>91.166970000000035</v>
          </cell>
          <cell r="H391">
            <v>5736.3670499999998</v>
          </cell>
          <cell r="I391">
            <v>-412.03607</v>
          </cell>
          <cell r="J391">
            <v>-131.92297999999994</v>
          </cell>
          <cell r="K391">
            <v>1186.3635900000002</v>
          </cell>
          <cell r="L391">
            <v>-1159.35454</v>
          </cell>
          <cell r="M391">
            <v>351.45982000000009</v>
          </cell>
          <cell r="N391">
            <v>-1694.1007499999998</v>
          </cell>
          <cell r="O391">
            <v>1132.1677599999998</v>
          </cell>
          <cell r="P391">
            <v>100.08113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-6.9142900000000003</v>
          </cell>
          <cell r="O396">
            <v>-6.9142900000000003</v>
          </cell>
          <cell r="P396">
            <v>-6.9142900000000003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-1861.6359029664043</v>
          </cell>
          <cell r="F399">
            <v>-1345.9688949698311</v>
          </cell>
          <cell r="G399">
            <v>-3651.3920962642528</v>
          </cell>
          <cell r="H399">
            <v>-2716.2222612949299</v>
          </cell>
          <cell r="I399">
            <v>-1848.4719838334672</v>
          </cell>
          <cell r="J399">
            <v>-2323.0007693639154</v>
          </cell>
          <cell r="K399">
            <v>-2799.4946810531142</v>
          </cell>
          <cell r="L399">
            <v>-1602.1968400363357</v>
          </cell>
          <cell r="M399">
            <v>-1887.8273567568572</v>
          </cell>
          <cell r="N399">
            <v>-977.50493126004471</v>
          </cell>
          <cell r="O399">
            <v>-1936.6616222084676</v>
          </cell>
          <cell r="P399">
            <v>-2145.4767108449441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19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247483.33701000002</v>
          </cell>
        </row>
        <row r="31">
          <cell r="BP31">
            <v>31072.702879999997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602705.2805900001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12056.935530000001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9240.0832699999992</v>
          </cell>
          <cell r="F271">
            <v>7732.1283199999998</v>
          </cell>
          <cell r="G271">
            <v>8983.555339999999</v>
          </cell>
          <cell r="H271">
            <v>9504.4807899999996</v>
          </cell>
          <cell r="I271">
            <v>8492.4819200000002</v>
          </cell>
          <cell r="J271">
            <v>8214.408730000001</v>
          </cell>
          <cell r="K271">
            <v>9097.089509999998</v>
          </cell>
          <cell r="L271">
            <v>9209.5456699999995</v>
          </cell>
          <cell r="M271">
            <v>9186.890879999999</v>
          </cell>
          <cell r="N271">
            <v>9074.4344899999996</v>
          </cell>
          <cell r="O271">
            <v>8955.529050000001</v>
          </cell>
          <cell r="P271">
            <v>9138.0916100000013</v>
          </cell>
        </row>
        <row r="273">
          <cell r="E273">
            <v>-76.742090000000005</v>
          </cell>
          <cell r="F273">
            <v>2.6329499999999939</v>
          </cell>
          <cell r="G273">
            <v>9.0885299999999916</v>
          </cell>
          <cell r="H273">
            <v>-8.7589500000000058</v>
          </cell>
          <cell r="I273">
            <v>-38.57556000000001</v>
          </cell>
          <cell r="J273">
            <v>-57.362819999999999</v>
          </cell>
          <cell r="K273">
            <v>-65.275949999999995</v>
          </cell>
          <cell r="L273">
            <v>-76.503830000000008</v>
          </cell>
          <cell r="M273">
            <v>-75.786060000000006</v>
          </cell>
          <cell r="N273">
            <v>-91.44625000000002</v>
          </cell>
          <cell r="O273">
            <v>-79.243409999999983</v>
          </cell>
          <cell r="P273">
            <v>-59.506389999999989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-156.67882000000051</v>
          </cell>
          <cell r="F323">
            <v>-146.69243000000006</v>
          </cell>
          <cell r="G323">
            <v>-84.767940000000024</v>
          </cell>
          <cell r="H323">
            <v>-119.46796000000037</v>
          </cell>
          <cell r="I323">
            <v>-115.76701999999972</v>
          </cell>
          <cell r="J323">
            <v>-116.01671000000002</v>
          </cell>
          <cell r="K323">
            <v>-133.88774000000021</v>
          </cell>
          <cell r="L323">
            <v>-132.07427999999999</v>
          </cell>
          <cell r="M323">
            <v>-121.14965000000036</v>
          </cell>
          <cell r="N323">
            <v>-121.85265000000076</v>
          </cell>
          <cell r="O323">
            <v>-94.013870000000097</v>
          </cell>
          <cell r="P323">
            <v>-103.13432999999965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170.08913999999999</v>
          </cell>
          <cell r="F329">
            <v>173.28842999999998</v>
          </cell>
          <cell r="G329">
            <v>169.62806</v>
          </cell>
          <cell r="H329">
            <v>173.95620000000002</v>
          </cell>
          <cell r="I329">
            <v>167.96316000000002</v>
          </cell>
          <cell r="J329">
            <v>171.76159000000004</v>
          </cell>
          <cell r="K329">
            <v>174.12442999999999</v>
          </cell>
          <cell r="L329">
            <v>174.93637000000004</v>
          </cell>
          <cell r="M329">
            <v>173.68381999999997</v>
          </cell>
          <cell r="N329">
            <v>176.51517999999999</v>
          </cell>
          <cell r="O329">
            <v>176.25668000000005</v>
          </cell>
          <cell r="P329">
            <v>179.17425000000003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3.855</v>
          </cell>
          <cell r="F333">
            <v>2.7879999999999998</v>
          </cell>
          <cell r="G333">
            <v>4.4740000000000002</v>
          </cell>
          <cell r="H333">
            <v>4.4509999999999996</v>
          </cell>
          <cell r="I333">
            <v>4.82</v>
          </cell>
          <cell r="J333">
            <v>5.1260000000000003</v>
          </cell>
          <cell r="K333">
            <v>3.6</v>
          </cell>
          <cell r="L333">
            <v>3.3820000000000001</v>
          </cell>
          <cell r="M333">
            <v>3.282</v>
          </cell>
          <cell r="N333">
            <v>2.29</v>
          </cell>
          <cell r="O333">
            <v>2.355</v>
          </cell>
          <cell r="P333">
            <v>2.8180000000000001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30.179920000000003</v>
          </cell>
          <cell r="F337">
            <v>31.886760000000002</v>
          </cell>
          <cell r="G337">
            <v>36.147669999999998</v>
          </cell>
          <cell r="H337">
            <v>5.747E-2</v>
          </cell>
          <cell r="I337">
            <v>59.701050000000002</v>
          </cell>
          <cell r="J337">
            <v>35.075749999999999</v>
          </cell>
          <cell r="K337">
            <v>27.803440000000002</v>
          </cell>
          <cell r="L337">
            <v>28.228950000000001</v>
          </cell>
          <cell r="M337">
            <v>34.598030000000001</v>
          </cell>
          <cell r="N337">
            <v>27.603000000000002</v>
          </cell>
          <cell r="O337">
            <v>5.2560000000000003E-2</v>
          </cell>
          <cell r="P337">
            <v>27.58456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318.02300000000002</v>
          </cell>
          <cell r="F342">
            <v>283.95999999999998</v>
          </cell>
          <cell r="G342">
            <v>274.43344999999999</v>
          </cell>
          <cell r="H342">
            <v>249.38471999999999</v>
          </cell>
          <cell r="I342">
            <v>189.31208999999998</v>
          </cell>
          <cell r="J342">
            <v>196.15</v>
          </cell>
          <cell r="K342">
            <v>210.65</v>
          </cell>
          <cell r="L342">
            <v>208.31</v>
          </cell>
          <cell r="M342">
            <v>217.81</v>
          </cell>
          <cell r="N342">
            <v>221.845</v>
          </cell>
          <cell r="O342">
            <v>185.70500000000001</v>
          </cell>
          <cell r="P342">
            <v>240.55099999999999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8.930909999999999</v>
          </cell>
          <cell r="F345">
            <v>9.2334600000000009</v>
          </cell>
          <cell r="G345">
            <v>9.098180000000001</v>
          </cell>
          <cell r="H345">
            <v>8.4026700000000005</v>
          </cell>
          <cell r="I345">
            <v>8.91465</v>
          </cell>
          <cell r="J345">
            <v>7.7465600000000006</v>
          </cell>
          <cell r="K345">
            <v>7.9070799999999997</v>
          </cell>
          <cell r="L345">
            <v>8.7101399999999991</v>
          </cell>
          <cell r="M345">
            <v>9.586879999999999</v>
          </cell>
          <cell r="N345">
            <v>30.029169999999997</v>
          </cell>
          <cell r="O345">
            <v>14.13804</v>
          </cell>
          <cell r="P345">
            <v>-11.540880000000001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1725.2165</v>
          </cell>
          <cell r="F350">
            <v>1459.7885000000001</v>
          </cell>
          <cell r="G350">
            <v>1491.8970800000002</v>
          </cell>
          <cell r="H350">
            <v>1243.1931400000001</v>
          </cell>
          <cell r="I350">
            <v>1063.4608900000001</v>
          </cell>
          <cell r="J350">
            <v>1069.8701400000002</v>
          </cell>
          <cell r="K350">
            <v>1172.76</v>
          </cell>
          <cell r="L350">
            <v>1101.365</v>
          </cell>
          <cell r="M350">
            <v>1180.7064599999999</v>
          </cell>
          <cell r="N350">
            <v>1196.9555</v>
          </cell>
          <cell r="O350">
            <v>1030.08692</v>
          </cell>
          <cell r="P350">
            <v>1223.80224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1381.7608600000003</v>
          </cell>
          <cell r="F355">
            <v>913.31438000000014</v>
          </cell>
          <cell r="G355">
            <v>1265.5796599999999</v>
          </cell>
          <cell r="H355">
            <v>1337.0645400000001</v>
          </cell>
          <cell r="I355">
            <v>1310.4173199999998</v>
          </cell>
          <cell r="J355">
            <v>1300.9709599999999</v>
          </cell>
          <cell r="K355">
            <v>1381.1415200000004</v>
          </cell>
          <cell r="L355">
            <v>1268.8296800000003</v>
          </cell>
          <cell r="M355">
            <v>1247.4804700000002</v>
          </cell>
          <cell r="N355">
            <v>1316.0394600000002</v>
          </cell>
          <cell r="O355">
            <v>1210.9039700000003</v>
          </cell>
          <cell r="P355">
            <v>1236.1726699999999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4.0709</v>
          </cell>
          <cell r="F359">
            <v>1.9300599999999999</v>
          </cell>
          <cell r="G359">
            <v>-0.23372000000000004</v>
          </cell>
          <cell r="H359">
            <v>3.9341500000000003</v>
          </cell>
          <cell r="I359">
            <v>1.895</v>
          </cell>
          <cell r="J359">
            <v>-0.70016</v>
          </cell>
          <cell r="K359">
            <v>6.3511900000000008</v>
          </cell>
          <cell r="L359">
            <v>3.6059999999999999</v>
          </cell>
          <cell r="M359">
            <v>5.8444400000000005</v>
          </cell>
          <cell r="N359">
            <v>3.2871899999999998</v>
          </cell>
          <cell r="O359">
            <v>3.0499499999999999</v>
          </cell>
          <cell r="P359">
            <v>276.37396999999999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5.9409900000000002</v>
          </cell>
          <cell r="F383">
            <v>7.7562999999999995</v>
          </cell>
          <cell r="G383">
            <v>1.2827299999999999</v>
          </cell>
          <cell r="H383">
            <v>7.1154999999999999</v>
          </cell>
          <cell r="I383">
            <v>11.309169999999998</v>
          </cell>
          <cell r="J383">
            <v>10.84506</v>
          </cell>
          <cell r="K383">
            <v>4.1651100000000003</v>
          </cell>
          <cell r="L383">
            <v>4.6894299999999998</v>
          </cell>
          <cell r="M383">
            <v>6.2158999999999995</v>
          </cell>
          <cell r="N383">
            <v>34.799169999999997</v>
          </cell>
          <cell r="O383">
            <v>33.692500000000003</v>
          </cell>
          <cell r="P383">
            <v>14.72012</v>
          </cell>
        </row>
        <row r="385">
          <cell r="E385">
            <v>-1496.1196638750114</v>
          </cell>
          <cell r="F385">
            <v>-1240.6386075232742</v>
          </cell>
          <cell r="G385">
            <v>-909.84445615588982</v>
          </cell>
          <cell r="H385">
            <v>-1261.5778395107361</v>
          </cell>
          <cell r="I385">
            <v>-1363.6861053847647</v>
          </cell>
          <cell r="J385">
            <v>-1257.0294023460069</v>
          </cell>
          <cell r="K385">
            <v>-1452.6815771451679</v>
          </cell>
          <cell r="L385">
            <v>-1374.7380495982807</v>
          </cell>
          <cell r="M385">
            <v>-1372.8474442947618</v>
          </cell>
          <cell r="N385">
            <v>-1712.3615937237298</v>
          </cell>
          <cell r="O385">
            <v>-1633.1812064088765</v>
          </cell>
          <cell r="P385">
            <v>-1397.3605659095902</v>
          </cell>
        </row>
        <row r="386">
          <cell r="E386">
            <v>-3239.5678425294323</v>
          </cell>
          <cell r="F386">
            <v>-3455.7882100918187</v>
          </cell>
          <cell r="G386">
            <v>-2890.8972983382778</v>
          </cell>
          <cell r="H386">
            <v>-2514.8181249424179</v>
          </cell>
          <cell r="I386">
            <v>-2509.1560900077584</v>
          </cell>
          <cell r="J386">
            <v>-2780.6362879613871</v>
          </cell>
          <cell r="K386">
            <v>-3012.6732665205313</v>
          </cell>
          <cell r="L386">
            <v>-2904.3462745428101</v>
          </cell>
          <cell r="M386">
            <v>-3386.3408986367622</v>
          </cell>
          <cell r="N386">
            <v>-2653.6684788573261</v>
          </cell>
          <cell r="O386">
            <v>-2667.6526870555858</v>
          </cell>
          <cell r="P386">
            <v>-3170.7432488574768</v>
          </cell>
        </row>
        <row r="387">
          <cell r="E387">
            <v>46.998793180210782</v>
          </cell>
          <cell r="F387">
            <v>46.330937939184615</v>
          </cell>
          <cell r="G387">
            <v>-0.31896517546732639</v>
          </cell>
          <cell r="H387">
            <v>-511.22042277488652</v>
          </cell>
          <cell r="I387">
            <v>-570.19526386026087</v>
          </cell>
          <cell r="J387">
            <v>75.902251992125812</v>
          </cell>
          <cell r="K387">
            <v>-547.48687282570768</v>
          </cell>
          <cell r="L387">
            <v>-447.40498078510637</v>
          </cell>
          <cell r="M387">
            <v>-450.97844137614061</v>
          </cell>
          <cell r="N387">
            <v>-556.62856947864395</v>
          </cell>
          <cell r="O387">
            <v>-515.54792462897046</v>
          </cell>
          <cell r="P387">
            <v>-393.99764346313611</v>
          </cell>
        </row>
        <row r="389">
          <cell r="E389">
            <v>-1707.04691</v>
          </cell>
          <cell r="F389">
            <v>-1405.0328500000003</v>
          </cell>
          <cell r="G389">
            <v>-1236.0988400000001</v>
          </cell>
          <cell r="H389">
            <v>-411.94525000000004</v>
          </cell>
          <cell r="I389">
            <v>-1742.8072</v>
          </cell>
          <cell r="J389">
            <v>-550.66456000000005</v>
          </cell>
          <cell r="K389">
            <v>-1764.8516400000003</v>
          </cell>
          <cell r="L389">
            <v>-49.213310000000035</v>
          </cell>
          <cell r="M389">
            <v>-927.38924999999995</v>
          </cell>
          <cell r="N389">
            <v>-1911.6267200000002</v>
          </cell>
          <cell r="O389">
            <v>-700.22685000000001</v>
          </cell>
          <cell r="P389">
            <v>-3218.7449200000001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-2159.6953968715188</v>
          </cell>
          <cell r="F399">
            <v>-1528.9822391134317</v>
          </cell>
          <cell r="G399">
            <v>-2444.2059116156274</v>
          </cell>
          <cell r="H399">
            <v>-2702.6573684701857</v>
          </cell>
          <cell r="I399">
            <v>-1720.7471112615256</v>
          </cell>
          <cell r="J399">
            <v>-2203.7537135896564</v>
          </cell>
          <cell r="K399">
            <v>-1797.0368602280071</v>
          </cell>
          <cell r="L399">
            <v>-2447.6275007758309</v>
          </cell>
          <cell r="M399">
            <v>-2024.8321029923163</v>
          </cell>
          <cell r="N399">
            <v>-1815.0845382791049</v>
          </cell>
          <cell r="O399">
            <v>-2071.0293021672974</v>
          </cell>
          <cell r="P399">
            <v>-1393.3969036194287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20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21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22.879189999999998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-3.8999999999941794E-4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1611.0705099999996</v>
          </cell>
          <cell r="F271">
            <v>988.71704000000022</v>
          </cell>
          <cell r="G271">
            <v>1402.7589099999991</v>
          </cell>
          <cell r="H271">
            <v>1475.04882</v>
          </cell>
          <cell r="I271">
            <v>1166.2153599999997</v>
          </cell>
          <cell r="J271">
            <v>1039.9500499999999</v>
          </cell>
          <cell r="K271">
            <v>990.24109999999973</v>
          </cell>
          <cell r="L271">
            <v>1571.8429700000002</v>
          </cell>
          <cell r="M271">
            <v>1509.9664400000004</v>
          </cell>
          <cell r="N271">
            <v>1473.8621400000004</v>
          </cell>
          <cell r="O271">
            <v>1522.7023300000008</v>
          </cell>
          <cell r="P271">
            <v>1530.2082999999998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-0.68303999999999687</v>
          </cell>
          <cell r="F323">
            <v>-0.39847999999999961</v>
          </cell>
          <cell r="G323">
            <v>-3.808870000000002</v>
          </cell>
          <cell r="H323">
            <v>-18.828690000000002</v>
          </cell>
          <cell r="I323">
            <v>-13.737709999999989</v>
          </cell>
          <cell r="J323">
            <v>-2.1544900000000018</v>
          </cell>
          <cell r="K323">
            <v>0.4726800000000253</v>
          </cell>
          <cell r="L323">
            <v>-7.2767100000000289</v>
          </cell>
          <cell r="M323">
            <v>-0.87431999999999988</v>
          </cell>
          <cell r="N323">
            <v>8.0759999999999638E-2</v>
          </cell>
          <cell r="O323">
            <v>1.3199999999983225E-3</v>
          </cell>
          <cell r="P323">
            <v>-1.0193799999999962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5.3999999999999999E-2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0.03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0.11</v>
          </cell>
          <cell r="J342">
            <v>1.4999999999999999E-2</v>
          </cell>
          <cell r="K342">
            <v>-1.4999999999999999E-2</v>
          </cell>
          <cell r="L342">
            <v>0</v>
          </cell>
          <cell r="M342">
            <v>3.5000000000000003E-2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0.73499999999999999</v>
          </cell>
          <cell r="F350">
            <v>0.80500000000000005</v>
          </cell>
          <cell r="G350">
            <v>0.105</v>
          </cell>
          <cell r="H350">
            <v>0.35</v>
          </cell>
          <cell r="I350">
            <v>-3.5000000000000003E-2</v>
          </cell>
          <cell r="J350">
            <v>0.14000000000000001</v>
          </cell>
          <cell r="K350">
            <v>0.14000000000000001</v>
          </cell>
          <cell r="L350">
            <v>8.5000000000000006E-2</v>
          </cell>
          <cell r="M350">
            <v>8.5000000000000006E-2</v>
          </cell>
          <cell r="N350">
            <v>0.14000000000000001</v>
          </cell>
          <cell r="O350">
            <v>0.27500000000000002</v>
          </cell>
          <cell r="P350">
            <v>0.24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55.598460000000003</v>
          </cell>
          <cell r="F355">
            <v>61.686639999999997</v>
          </cell>
          <cell r="G355">
            <v>45.348330000000004</v>
          </cell>
          <cell r="H355">
            <v>29.529599999999999</v>
          </cell>
          <cell r="I355">
            <v>62.962519999999998</v>
          </cell>
          <cell r="J355">
            <v>36.117690000000003</v>
          </cell>
          <cell r="K355">
            <v>329.39346</v>
          </cell>
          <cell r="L355">
            <v>171.97883000000002</v>
          </cell>
          <cell r="M355">
            <v>52.918750000000003</v>
          </cell>
          <cell r="N355">
            <v>-36.915509999999998</v>
          </cell>
          <cell r="O355">
            <v>36.950700000000005</v>
          </cell>
          <cell r="P355">
            <v>37.423519999999996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-8.5000000000000006E-2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-259.13321999999999</v>
          </cell>
          <cell r="F378">
            <v>-249.05705</v>
          </cell>
          <cell r="G378">
            <v>-232.73161999999999</v>
          </cell>
          <cell r="H378">
            <v>-251.51039</v>
          </cell>
          <cell r="I378">
            <v>-258.65482000000003</v>
          </cell>
          <cell r="J378">
            <v>-250.24715</v>
          </cell>
          <cell r="K378">
            <v>-343.04455000000002</v>
          </cell>
          <cell r="L378">
            <v>-345.84566000000001</v>
          </cell>
          <cell r="M378">
            <v>-339.38265000000001</v>
          </cell>
          <cell r="N378">
            <v>-344.93121000000008</v>
          </cell>
          <cell r="O378">
            <v>-283.03105000000005</v>
          </cell>
          <cell r="P378">
            <v>-169.40263999999999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4.8000000000000001E-2</v>
          </cell>
          <cell r="G383">
            <v>0</v>
          </cell>
          <cell r="H383">
            <v>0</v>
          </cell>
          <cell r="I383">
            <v>5.7860000000000002E-2</v>
          </cell>
          <cell r="J383">
            <v>9.8000000000000004E-2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4.8090000000000001E-2</v>
          </cell>
          <cell r="P383">
            <v>0</v>
          </cell>
        </row>
        <row r="385">
          <cell r="E385">
            <v>-393.22135836459563</v>
          </cell>
          <cell r="F385">
            <v>-404.6351598168805</v>
          </cell>
          <cell r="G385">
            <v>-587.80664500221417</v>
          </cell>
          <cell r="H385">
            <v>-559.03832613663087</v>
          </cell>
          <cell r="I385">
            <v>-473.72490500016193</v>
          </cell>
          <cell r="J385">
            <v>-458.12232587484078</v>
          </cell>
          <cell r="K385">
            <v>-490.13558690726506</v>
          </cell>
          <cell r="L385">
            <v>-472.27263873147058</v>
          </cell>
          <cell r="M385">
            <v>-485.3544846526583</v>
          </cell>
          <cell r="N385">
            <v>-570.42290570070713</v>
          </cell>
          <cell r="O385">
            <v>-525.32568360961602</v>
          </cell>
          <cell r="P385">
            <v>-544.66082806872248</v>
          </cell>
        </row>
        <row r="386">
          <cell r="E386">
            <v>-712.94685357355149</v>
          </cell>
          <cell r="F386">
            <v>-756.15917509947076</v>
          </cell>
          <cell r="G386">
            <v>-655.48275069980082</v>
          </cell>
          <cell r="H386">
            <v>-750.03390535428605</v>
          </cell>
          <cell r="I386">
            <v>-723.52084500840476</v>
          </cell>
          <cell r="J386">
            <v>-642.02789862483633</v>
          </cell>
          <cell r="K386">
            <v>-732.55679789724195</v>
          </cell>
          <cell r="L386">
            <v>-651.42380408804434</v>
          </cell>
          <cell r="M386">
            <v>-759.64784435649256</v>
          </cell>
          <cell r="N386">
            <v>-978.87641876210341</v>
          </cell>
          <cell r="O386">
            <v>-536.70040764355156</v>
          </cell>
          <cell r="P386">
            <v>-729.89719459559944</v>
          </cell>
        </row>
        <row r="387">
          <cell r="E387">
            <v>88.973260111895002</v>
          </cell>
          <cell r="F387">
            <v>84.747544434116662</v>
          </cell>
          <cell r="G387">
            <v>81.528309393243717</v>
          </cell>
          <cell r="H387">
            <v>0.44212866053953803</v>
          </cell>
          <cell r="I387">
            <v>-7.4112258486160414</v>
          </cell>
          <cell r="J387">
            <v>90.081237158136304</v>
          </cell>
          <cell r="K387">
            <v>-2.8524913945166759</v>
          </cell>
          <cell r="L387">
            <v>8.5027474828012828</v>
          </cell>
          <cell r="M387">
            <v>6.4372476758477148</v>
          </cell>
          <cell r="N387">
            <v>-12.661040268530883</v>
          </cell>
          <cell r="O387">
            <v>-6.0773516813847408</v>
          </cell>
          <cell r="P387">
            <v>16.654677081602571</v>
          </cell>
        </row>
        <row r="389">
          <cell r="E389">
            <v>1.16537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-0.76890000000000003</v>
          </cell>
          <cell r="F391">
            <v>0.25022</v>
          </cell>
          <cell r="G391">
            <v>1.0352000000000001</v>
          </cell>
          <cell r="H391">
            <v>1.4780000000000001E-2</v>
          </cell>
          <cell r="I391">
            <v>0.29734000000000005</v>
          </cell>
          <cell r="J391">
            <v>8.8700000000000011E-3</v>
          </cell>
          <cell r="K391">
            <v>4.0250000000000001E-2</v>
          </cell>
          <cell r="L391">
            <v>0.24326</v>
          </cell>
          <cell r="M391">
            <v>-6.0800000000000003E-3</v>
          </cell>
          <cell r="N391">
            <v>2.1860000000000001E-2</v>
          </cell>
          <cell r="O391">
            <v>-1.56E-3</v>
          </cell>
          <cell r="P391">
            <v>1.2800000000000001E-3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-136.7951273608117</v>
          </cell>
          <cell r="F399">
            <v>95.898390168782129</v>
          </cell>
          <cell r="G399">
            <v>-17.831082791930079</v>
          </cell>
          <cell r="H399">
            <v>25.909073490631986</v>
          </cell>
          <cell r="I399">
            <v>86.604500550013924</v>
          </cell>
          <cell r="J399">
            <v>65.149347569539259</v>
          </cell>
          <cell r="K399">
            <v>86.910933669658249</v>
          </cell>
          <cell r="L399">
            <v>-96.541891632150282</v>
          </cell>
          <cell r="M399">
            <v>5.5677734666561349</v>
          </cell>
          <cell r="N399">
            <v>164.38530515596949</v>
          </cell>
          <cell r="O399">
            <v>-73.094504972906719</v>
          </cell>
          <cell r="P399">
            <v>-48.841698546048228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22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23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24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-2350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-0.73493999999999993</v>
          </cell>
          <cell r="F271">
            <v>-14.953919999999998</v>
          </cell>
          <cell r="G271">
            <v>-108.28048</v>
          </cell>
          <cell r="H271">
            <v>-250.23968999999997</v>
          </cell>
          <cell r="I271">
            <v>-362.83859999999999</v>
          </cell>
          <cell r="J271">
            <v>-469.45962000000003</v>
          </cell>
          <cell r="K271">
            <v>-800.12914000000012</v>
          </cell>
          <cell r="L271">
            <v>-895.53320000000008</v>
          </cell>
          <cell r="M271">
            <v>-959.06632000000002</v>
          </cell>
          <cell r="N271">
            <v>-1054.0031100000001</v>
          </cell>
          <cell r="O271">
            <v>-1142.2133200000001</v>
          </cell>
          <cell r="P271">
            <v>-1362.2487299999998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-7.2999999999999996E-4</v>
          </cell>
          <cell r="L378">
            <v>-7.2999999999999996E-4</v>
          </cell>
          <cell r="M378">
            <v>-7.1999999999999994E-4</v>
          </cell>
          <cell r="N378">
            <v>-3.3500000000000001E-3</v>
          </cell>
          <cell r="O378">
            <v>-2.7400000000000002E-3</v>
          </cell>
          <cell r="P378">
            <v>-1.6500000000000002E-3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-17.693790000000007</v>
          </cell>
          <cell r="F383">
            <v>117.48300000000006</v>
          </cell>
          <cell r="G383">
            <v>720.24801000000025</v>
          </cell>
          <cell r="H383">
            <v>1841.1615600000005</v>
          </cell>
          <cell r="I383">
            <v>2088.0523300000013</v>
          </cell>
          <cell r="J383">
            <v>2920.233610000003</v>
          </cell>
          <cell r="K383">
            <v>3519.6089700000011</v>
          </cell>
          <cell r="L383">
            <v>4112.423450000002</v>
          </cell>
          <cell r="M383">
            <v>4728.5270199999959</v>
          </cell>
          <cell r="N383">
            <v>5654.976190000003</v>
          </cell>
          <cell r="O383">
            <v>5540.7291900000055</v>
          </cell>
          <cell r="P383">
            <v>7157.4742200000037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-21.545000000000016</v>
          </cell>
          <cell r="F386">
            <v>-84.969250000000102</v>
          </cell>
          <cell r="G386">
            <v>-241.69781000000057</v>
          </cell>
          <cell r="H386">
            <v>-589.8986900000009</v>
          </cell>
          <cell r="I386">
            <v>-726.79057999999986</v>
          </cell>
          <cell r="J386">
            <v>99.582540000001245</v>
          </cell>
          <cell r="K386">
            <v>-2264.0965600000018</v>
          </cell>
          <cell r="L386">
            <v>-1842.3895800000028</v>
          </cell>
          <cell r="M386">
            <v>-1567.7823999999946</v>
          </cell>
          <cell r="N386">
            <v>-2271.1278300000031</v>
          </cell>
          <cell r="O386">
            <v>-3047.4541800000043</v>
          </cell>
          <cell r="P386">
            <v>-3290.4028100000032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-2350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13.99081</v>
          </cell>
          <cell r="F399">
            <v>-6.1459400000000004</v>
          </cell>
          <cell r="G399">
            <v>-129.59440000000001</v>
          </cell>
          <cell r="H399">
            <v>472.14188999999999</v>
          </cell>
          <cell r="I399">
            <v>-349.44810000000001</v>
          </cell>
          <cell r="J399">
            <v>-892.62479000000008</v>
          </cell>
          <cell r="K399">
            <v>-159.38389000000001</v>
          </cell>
          <cell r="L399">
            <v>-481.07497999999998</v>
          </cell>
          <cell r="M399">
            <v>-770.58715000000007</v>
          </cell>
          <cell r="N399">
            <v>-815.44467000000009</v>
          </cell>
          <cell r="O399">
            <v>-472.87063000000001</v>
          </cell>
          <cell r="P399">
            <v>-876.68736000000001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25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26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27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28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-5.6726299999999998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1820.7</v>
          </cell>
          <cell r="F359">
            <v>35.74477499999989</v>
          </cell>
          <cell r="G359">
            <v>506.57862999999998</v>
          </cell>
          <cell r="H359">
            <v>-1.9672310000000834</v>
          </cell>
          <cell r="I359">
            <v>165</v>
          </cell>
          <cell r="J359">
            <v>49.28125</v>
          </cell>
          <cell r="K359">
            <v>450</v>
          </cell>
          <cell r="L359">
            <v>443.93287500000088</v>
          </cell>
          <cell r="M359">
            <v>0</v>
          </cell>
          <cell r="N359">
            <v>165.20218750000004</v>
          </cell>
          <cell r="O359">
            <v>209.68323049999935</v>
          </cell>
          <cell r="P359">
            <v>98.557245000000421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10.460752499999998</v>
          </cell>
          <cell r="G374">
            <v>0</v>
          </cell>
          <cell r="H374">
            <v>-1.2464949999999977</v>
          </cell>
          <cell r="I374">
            <v>0</v>
          </cell>
          <cell r="J374">
            <v>-2.3750000000000009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-130.58300573304211</v>
          </cell>
          <cell r="F385">
            <v>-146.21689207844418</v>
          </cell>
          <cell r="G385">
            <v>-140.52940796188369</v>
          </cell>
          <cell r="H385">
            <v>-138.38113652998146</v>
          </cell>
          <cell r="I385">
            <v>-132.40470486454615</v>
          </cell>
          <cell r="J385">
            <v>-100.37501541335519</v>
          </cell>
          <cell r="K385">
            <v>-112.09092475505463</v>
          </cell>
          <cell r="L385">
            <v>-107.45929550701999</v>
          </cell>
          <cell r="M385">
            <v>-118.5362075452</v>
          </cell>
          <cell r="N385">
            <v>-109.3059916110667</v>
          </cell>
          <cell r="O385">
            <v>-133.23748621786331</v>
          </cell>
          <cell r="P385">
            <v>-24.565818656049487</v>
          </cell>
        </row>
        <row r="386">
          <cell r="E386">
            <v>-53.904484487779357</v>
          </cell>
          <cell r="F386">
            <v>-65.701570945272564</v>
          </cell>
          <cell r="G386">
            <v>-71.366542564530135</v>
          </cell>
          <cell r="H386">
            <v>-78.273444521479064</v>
          </cell>
          <cell r="I386">
            <v>-41.469979578398807</v>
          </cell>
          <cell r="J386">
            <v>-86.546045375752328</v>
          </cell>
          <cell r="K386">
            <v>-71.806659327306306</v>
          </cell>
          <cell r="L386">
            <v>-67.787634298237208</v>
          </cell>
          <cell r="M386">
            <v>8.0021353855867119</v>
          </cell>
          <cell r="N386">
            <v>-41.634960172189608</v>
          </cell>
          <cell r="O386">
            <v>-34.288424663930527</v>
          </cell>
          <cell r="P386">
            <v>62.602944236014196</v>
          </cell>
        </row>
        <row r="387">
          <cell r="E387">
            <v>-0.99085073913700505</v>
          </cell>
          <cell r="F387">
            <v>-1.2523834985275109</v>
          </cell>
          <cell r="G387">
            <v>-1.8703006373132247</v>
          </cell>
          <cell r="H387">
            <v>-1.9773224846540742</v>
          </cell>
          <cell r="I387">
            <v>-1.4609302352544731</v>
          </cell>
          <cell r="J387">
            <v>-1.4493409127378056</v>
          </cell>
          <cell r="K387">
            <v>-0.6992272615860049</v>
          </cell>
          <cell r="L387">
            <v>-1.3492023167448544</v>
          </cell>
          <cell r="M387">
            <v>-1.0619841823724396</v>
          </cell>
          <cell r="N387">
            <v>-1.3375752813789354</v>
          </cell>
          <cell r="O387">
            <v>-1.1272660542130648</v>
          </cell>
          <cell r="P387">
            <v>0.11230026820173933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-296.62588389057515</v>
          </cell>
          <cell r="F399">
            <v>68.353082634096964</v>
          </cell>
          <cell r="G399">
            <v>-23.504810576403457</v>
          </cell>
          <cell r="H399">
            <v>80.224758087145702</v>
          </cell>
          <cell r="I399">
            <v>30.822163742864632</v>
          </cell>
          <cell r="J399">
            <v>59.185576219471592</v>
          </cell>
          <cell r="K399">
            <v>-21.672234670803164</v>
          </cell>
          <cell r="L399">
            <v>-24.505582907591361</v>
          </cell>
          <cell r="M399">
            <v>40.620964508482871</v>
          </cell>
          <cell r="N399">
            <v>22.388946351527011</v>
          </cell>
          <cell r="O399">
            <v>19.45311030470657</v>
          </cell>
          <cell r="P399">
            <v>-33.597840008732419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29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1.6376199999999999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159.77921550500002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-0.32752399999999998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-31.955843101000006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30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46.6</v>
          </cell>
          <cell r="L329">
            <v>0</v>
          </cell>
          <cell r="M329">
            <v>72.76400000000001</v>
          </cell>
          <cell r="N329">
            <v>7.3359999999999985</v>
          </cell>
          <cell r="O329">
            <v>21.667000000000016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-16.962399999999999</v>
          </cell>
          <cell r="L399">
            <v>0</v>
          </cell>
          <cell r="M399">
            <v>-26.486096000000003</v>
          </cell>
          <cell r="N399">
            <v>-2.6703039999999993</v>
          </cell>
          <cell r="O399">
            <v>-7.8867880000000055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31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32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33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34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1515991.4211600001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4054.6997100000012</v>
          </cell>
          <cell r="F271">
            <v>2392.9973799999989</v>
          </cell>
          <cell r="G271">
            <v>2626.8012699999954</v>
          </cell>
          <cell r="H271">
            <v>2926.8577399999986</v>
          </cell>
          <cell r="I271">
            <v>2881.094330000014</v>
          </cell>
          <cell r="J271">
            <v>2807.3995699999914</v>
          </cell>
          <cell r="K271">
            <v>3266.4038999999984</v>
          </cell>
          <cell r="L271">
            <v>3097.7641200000144</v>
          </cell>
          <cell r="M271">
            <v>4951.8164400000051</v>
          </cell>
          <cell r="N271">
            <v>3408.8017899999859</v>
          </cell>
          <cell r="O271">
            <v>3738.7196500000009</v>
          </cell>
          <cell r="P271">
            <v>2476.6493999999675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469.41280000000006</v>
          </cell>
          <cell r="F329">
            <v>2417.4118900000003</v>
          </cell>
          <cell r="G329">
            <v>3141.1997000000056</v>
          </cell>
          <cell r="H329">
            <v>419.27698999999484</v>
          </cell>
          <cell r="I329">
            <v>466.91741999999977</v>
          </cell>
          <cell r="J329">
            <v>458.07005000000026</v>
          </cell>
          <cell r="K329">
            <v>381.61795000000075</v>
          </cell>
          <cell r="L329">
            <v>845.61519000000135</v>
          </cell>
          <cell r="M329">
            <v>1945.902449999996</v>
          </cell>
          <cell r="N329">
            <v>2487.887980000005</v>
          </cell>
          <cell r="O329">
            <v>2010.2356100000052</v>
          </cell>
          <cell r="P329">
            <v>8094.335750000002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537.14142000000004</v>
          </cell>
          <cell r="F362">
            <v>186.63334999999995</v>
          </cell>
          <cell r="G362">
            <v>237.29141000000004</v>
          </cell>
          <cell r="H362">
            <v>-769.34172000000001</v>
          </cell>
          <cell r="I362">
            <v>15.381499999999988</v>
          </cell>
          <cell r="J362">
            <v>0</v>
          </cell>
          <cell r="K362">
            <v>0</v>
          </cell>
          <cell r="L362">
            <v>535.31600000000003</v>
          </cell>
          <cell r="M362">
            <v>-148.93399999999997</v>
          </cell>
          <cell r="N362">
            <v>54.921000000000049</v>
          </cell>
          <cell r="O362">
            <v>752.05975000000001</v>
          </cell>
          <cell r="P362">
            <v>25.2037499999999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-1842.2964305200003</v>
          </cell>
          <cell r="F399">
            <v>-1818.9235136799996</v>
          </cell>
          <cell r="G399">
            <v>-2185.9264263200002</v>
          </cell>
          <cell r="H399">
            <v>-937.9526556399976</v>
          </cell>
          <cell r="I399">
            <v>-1224.2751430000051</v>
          </cell>
          <cell r="J399">
            <v>-1188.630941679997</v>
          </cell>
          <cell r="K399">
            <v>-1327.8799533999997</v>
          </cell>
          <cell r="L399">
            <v>-1630.2450928400056</v>
          </cell>
          <cell r="M399">
            <v>-2456.5576999600003</v>
          </cell>
          <cell r="N399">
            <v>-2166.3863202799967</v>
          </cell>
          <cell r="O399">
            <v>-2366.3694636400023</v>
          </cell>
          <cell r="P399">
            <v>-3857.0127595999888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35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36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1547711.7846400004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-22242.020800000002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2362.4158979999979</v>
          </cell>
          <cell r="F271">
            <v>3167.2346640000005</v>
          </cell>
          <cell r="G271">
            <v>4723.2294030000066</v>
          </cell>
          <cell r="H271">
            <v>3320.3904999999932</v>
          </cell>
          <cell r="I271">
            <v>2318.7823489999873</v>
          </cell>
          <cell r="J271">
            <v>3165.3772930000232</v>
          </cell>
          <cell r="K271">
            <v>5219.3979689999978</v>
          </cell>
          <cell r="L271">
            <v>3645.9554879999878</v>
          </cell>
          <cell r="M271">
            <v>996.87197700003117</v>
          </cell>
          <cell r="N271">
            <v>5059.9654756832342</v>
          </cell>
          <cell r="O271">
            <v>1936.379780999983</v>
          </cell>
          <cell r="P271">
            <v>5555.2642960000703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5933.8099441666673</v>
          </cell>
          <cell r="F329">
            <v>179.32754316666666</v>
          </cell>
          <cell r="G329">
            <v>2854.5659951666617</v>
          </cell>
          <cell r="H329">
            <v>1238.495810166673</v>
          </cell>
          <cell r="I329">
            <v>2617.2420941666642</v>
          </cell>
          <cell r="J329">
            <v>1692.989745166667</v>
          </cell>
          <cell r="K329">
            <v>899.48207716666479</v>
          </cell>
          <cell r="L329">
            <v>630.24141816665917</v>
          </cell>
          <cell r="M329">
            <v>2248.1786951666713</v>
          </cell>
          <cell r="N329">
            <v>1841.493613666664</v>
          </cell>
          <cell r="O329">
            <v>1112.0552151666589</v>
          </cell>
          <cell r="P329">
            <v>1624.8297576666712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4.5474735088646412E-13</v>
          </cell>
          <cell r="F362">
            <v>-0.28611000000000786</v>
          </cell>
          <cell r="G362">
            <v>871.04200000000048</v>
          </cell>
          <cell r="H362">
            <v>8.6331099999985099</v>
          </cell>
          <cell r="I362">
            <v>0</v>
          </cell>
          <cell r="J362">
            <v>632.61200000000088</v>
          </cell>
          <cell r="K362">
            <v>1118.2809999999997</v>
          </cell>
          <cell r="L362">
            <v>-2.4320000000011532</v>
          </cell>
          <cell r="M362">
            <v>17.616999999999052</v>
          </cell>
          <cell r="N362">
            <v>1.215999999997166</v>
          </cell>
          <cell r="O362">
            <v>-0.30215000000202963</v>
          </cell>
          <cell r="P362">
            <v>-0.913849999996728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-1577.8405335839225</v>
          </cell>
          <cell r="F385">
            <v>-1490.6046964421521</v>
          </cell>
          <cell r="G385">
            <v>-1429.9200128738262</v>
          </cell>
          <cell r="H385">
            <v>-1476.1839467456991</v>
          </cell>
          <cell r="I385">
            <v>-1534.7980875193073</v>
          </cell>
          <cell r="J385">
            <v>-1467.5065074486847</v>
          </cell>
          <cell r="K385">
            <v>-1550.5309220892173</v>
          </cell>
          <cell r="L385">
            <v>-1491.8484588628514</v>
          </cell>
          <cell r="M385">
            <v>-1571.8263820363356</v>
          </cell>
          <cell r="N385">
            <v>-1712.2909194103531</v>
          </cell>
          <cell r="O385">
            <v>-1664.8346119806788</v>
          </cell>
          <cell r="P385">
            <v>-2395.015584698479</v>
          </cell>
        </row>
        <row r="386">
          <cell r="E386">
            <v>-652.07069956703538</v>
          </cell>
          <cell r="F386">
            <v>-958.12137151838192</v>
          </cell>
          <cell r="G386">
            <v>-588.28347419435329</v>
          </cell>
          <cell r="H386">
            <v>-722.33007608764058</v>
          </cell>
          <cell r="I386">
            <v>-631.3498650460258</v>
          </cell>
          <cell r="J386">
            <v>-695.54653848615112</v>
          </cell>
          <cell r="K386">
            <v>-589.04298538630712</v>
          </cell>
          <cell r="L386">
            <v>-799.86739708661878</v>
          </cell>
          <cell r="M386">
            <v>-983.82938383322073</v>
          </cell>
          <cell r="N386">
            <v>-1154.10821353546</v>
          </cell>
          <cell r="O386">
            <v>-623.32491568078433</v>
          </cell>
          <cell r="P386">
            <v>-1043.214890423305</v>
          </cell>
        </row>
        <row r="387">
          <cell r="E387">
            <v>-13.3710939079168</v>
          </cell>
          <cell r="F387">
            <v>-14.460292960864056</v>
          </cell>
          <cell r="G387">
            <v>-26.855090670197981</v>
          </cell>
          <cell r="H387">
            <v>-110.64047334169584</v>
          </cell>
          <cell r="I387">
            <v>-117.10826464529289</v>
          </cell>
          <cell r="J387">
            <v>-11.066313051296916</v>
          </cell>
          <cell r="K387">
            <v>-108.57930644233242</v>
          </cell>
          <cell r="L387">
            <v>-95.776596921612168</v>
          </cell>
          <cell r="M387">
            <v>-94.203016316556159</v>
          </cell>
          <cell r="N387">
            <v>-112.78953788812679</v>
          </cell>
          <cell r="O387">
            <v>-104.73400784237981</v>
          </cell>
          <cell r="P387">
            <v>-77.432844760028857</v>
          </cell>
        </row>
        <row r="389">
          <cell r="E389">
            <v>3166.143</v>
          </cell>
          <cell r="F389">
            <v>0</v>
          </cell>
          <cell r="G389">
            <v>3997.7988940000005</v>
          </cell>
          <cell r="H389">
            <v>-58.000116000000162</v>
          </cell>
          <cell r="I389">
            <v>-41931.514959</v>
          </cell>
          <cell r="J389">
            <v>3382.3695279999993</v>
          </cell>
          <cell r="K389">
            <v>-27007.241708000005</v>
          </cell>
          <cell r="L389">
            <v>-2388.2704539999904</v>
          </cell>
          <cell r="M389">
            <v>121.0706349999964</v>
          </cell>
          <cell r="N389">
            <v>139.94510000000446</v>
          </cell>
          <cell r="O389">
            <v>125.57299000000057</v>
          </cell>
          <cell r="P389">
            <v>133.16285599999537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1078.45002</v>
          </cell>
          <cell r="F391">
            <v>-1793.1348400000002</v>
          </cell>
          <cell r="G391">
            <v>-1645.03909</v>
          </cell>
          <cell r="H391">
            <v>2782.4937999999997</v>
          </cell>
          <cell r="I391">
            <v>302.91561999999999</v>
          </cell>
          <cell r="J391">
            <v>810.12369000000012</v>
          </cell>
          <cell r="K391">
            <v>-7222.5929699999997</v>
          </cell>
          <cell r="L391">
            <v>559.62226999999984</v>
          </cell>
          <cell r="M391">
            <v>485.58183000000008</v>
          </cell>
          <cell r="N391">
            <v>3691.3962099999999</v>
          </cell>
          <cell r="O391">
            <v>749.08852999999999</v>
          </cell>
          <cell r="P391">
            <v>345.39848000000001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34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-250</v>
          </cell>
          <cell r="K396">
            <v>216</v>
          </cell>
          <cell r="L396">
            <v>34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-3177.3553290945683</v>
          </cell>
          <cell r="F399">
            <v>297.51897899538869</v>
          </cell>
          <cell r="G399">
            <v>-2342.4092742912317</v>
          </cell>
          <cell r="H399">
            <v>-1889.7228746342855</v>
          </cell>
          <cell r="I399">
            <v>8909.7495234766757</v>
          </cell>
          <cell r="J399">
            <v>-2176.6404564390582</v>
          </cell>
          <cell r="K399">
            <v>6507.3434916401011</v>
          </cell>
          <cell r="L399">
            <v>-75.561097874919597</v>
          </cell>
          <cell r="M399">
            <v>-375.09702925626812</v>
          </cell>
          <cell r="N399">
            <v>-2526.7472005211416</v>
          </cell>
          <cell r="O399">
            <v>-604.30502672459193</v>
          </cell>
          <cell r="P399">
            <v>-1459.8472952950458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37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2305438.9915200002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-18333.577229999999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1999.7399183333332</v>
          </cell>
          <cell r="F271">
            <v>2105.5615483333349</v>
          </cell>
          <cell r="G271">
            <v>2126.9911083333345</v>
          </cell>
          <cell r="H271">
            <v>2435.143258333328</v>
          </cell>
          <cell r="I271">
            <v>2563.3067983333294</v>
          </cell>
          <cell r="J271">
            <v>3092.5163983333341</v>
          </cell>
          <cell r="K271">
            <v>2415.1819783333317</v>
          </cell>
          <cell r="L271">
            <v>3047.8963783333338</v>
          </cell>
          <cell r="M271">
            <v>3946.4951183333287</v>
          </cell>
          <cell r="N271">
            <v>3672.9518909317185</v>
          </cell>
          <cell r="O271">
            <v>2424.5753983333302</v>
          </cell>
          <cell r="P271">
            <v>3518.596988333331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314.01417250000009</v>
          </cell>
          <cell r="F329">
            <v>560.83732250000003</v>
          </cell>
          <cell r="G329">
            <v>425.55252249999984</v>
          </cell>
          <cell r="H329">
            <v>893.53669249999996</v>
          </cell>
          <cell r="I329">
            <v>671.31620250000003</v>
          </cell>
          <cell r="J329">
            <v>417.18796250000037</v>
          </cell>
          <cell r="K329">
            <v>1200.9159324999991</v>
          </cell>
          <cell r="L329">
            <v>436.28460250000069</v>
          </cell>
          <cell r="M329">
            <v>470.76961250000079</v>
          </cell>
          <cell r="N329">
            <v>341.73023250000051</v>
          </cell>
          <cell r="O329">
            <v>1089.1661725000008</v>
          </cell>
          <cell r="P329">
            <v>538.47787249999999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2.0040000000000002E-2</v>
          </cell>
          <cell r="F367">
            <v>2.0040000000000002E-2</v>
          </cell>
          <cell r="G367">
            <v>2.0040000000000002E-2</v>
          </cell>
          <cell r="H367">
            <v>2.0040000000000002E-2</v>
          </cell>
          <cell r="I367">
            <v>2.0040000000000002E-2</v>
          </cell>
          <cell r="J367">
            <v>2.0040000000000002E-2</v>
          </cell>
          <cell r="K367">
            <v>2.0040000000000002E-2</v>
          </cell>
          <cell r="L367">
            <v>2.0040000000000002E-2</v>
          </cell>
          <cell r="M367">
            <v>2.0040000000000002E-2</v>
          </cell>
          <cell r="N367">
            <v>2.0040000000000002E-2</v>
          </cell>
          <cell r="O367">
            <v>-693.27995999999996</v>
          </cell>
          <cell r="P367">
            <v>-2.15000000002874E-3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-337.51557839999998</v>
          </cell>
          <cell r="F385">
            <v>-376.71302460000004</v>
          </cell>
          <cell r="G385">
            <v>-377.79708120000009</v>
          </cell>
          <cell r="H385">
            <v>-330.22890120000011</v>
          </cell>
          <cell r="I385">
            <v>-376.0062504</v>
          </cell>
          <cell r="J385">
            <v>-347.80575060000001</v>
          </cell>
          <cell r="K385">
            <v>-416.32941240000036</v>
          </cell>
          <cell r="L385">
            <v>-375.18668879999996</v>
          </cell>
          <cell r="M385">
            <v>-377.21417579999979</v>
          </cell>
          <cell r="N385">
            <v>-429.30338220000021</v>
          </cell>
          <cell r="O385">
            <v>-391.87806899999941</v>
          </cell>
          <cell r="P385">
            <v>-378.71265960000073</v>
          </cell>
        </row>
        <row r="386">
          <cell r="E386">
            <v>-406.93563240000003</v>
          </cell>
          <cell r="F386">
            <v>-484.49468760000002</v>
          </cell>
          <cell r="G386">
            <v>-389.96424060000015</v>
          </cell>
          <cell r="H386">
            <v>-382.70008919999987</v>
          </cell>
          <cell r="I386">
            <v>-338.74707899999999</v>
          </cell>
          <cell r="J386">
            <v>-404.24116259999983</v>
          </cell>
          <cell r="K386">
            <v>-385.4204706000005</v>
          </cell>
          <cell r="L386">
            <v>-467.25821339999993</v>
          </cell>
          <cell r="M386">
            <v>-488.14158359999965</v>
          </cell>
          <cell r="N386">
            <v>-397.79510760000039</v>
          </cell>
          <cell r="O386">
            <v>-377.17146719999982</v>
          </cell>
          <cell r="P386">
            <v>-518.80812059999971</v>
          </cell>
        </row>
        <row r="387">
          <cell r="E387">
            <v>-5.4135048000000001</v>
          </cell>
          <cell r="F387">
            <v>-4.9149077999999999</v>
          </cell>
          <cell r="G387">
            <v>-11.528510400000002</v>
          </cell>
          <cell r="H387">
            <v>-77.452854599999995</v>
          </cell>
          <cell r="I387">
            <v>-85.276580399999986</v>
          </cell>
          <cell r="J387">
            <v>-1.1948772000000076</v>
          </cell>
          <cell r="K387">
            <v>-82.479520199999996</v>
          </cell>
          <cell r="L387">
            <v>-68.932696800000031</v>
          </cell>
          <cell r="M387">
            <v>-69.181424400000026</v>
          </cell>
          <cell r="N387">
            <v>-82.492746599999975</v>
          </cell>
          <cell r="O387">
            <v>-77.197256400000015</v>
          </cell>
          <cell r="P387">
            <v>-61.99562160000005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142.99531000000002</v>
          </cell>
          <cell r="F391">
            <v>742.98887999999988</v>
          </cell>
          <cell r="G391">
            <v>-964.38522000000012</v>
          </cell>
          <cell r="H391">
            <v>817.25926000000027</v>
          </cell>
          <cell r="I391">
            <v>-166.71765999999934</v>
          </cell>
          <cell r="J391">
            <v>-346.77313000000004</v>
          </cell>
          <cell r="K391">
            <v>-1125.2564499999994</v>
          </cell>
          <cell r="L391">
            <v>-1510.0579900000002</v>
          </cell>
          <cell r="M391">
            <v>823.07723999999962</v>
          </cell>
          <cell r="N391">
            <v>2419.3490600000005</v>
          </cell>
          <cell r="O391">
            <v>166.85403000000042</v>
          </cell>
          <cell r="P391">
            <v>-1834.6881500000009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-629.87686012159998</v>
          </cell>
          <cell r="F399">
            <v>-934.31934232000015</v>
          </cell>
          <cell r="G399">
            <v>-302.99899731920027</v>
          </cell>
          <cell r="H399">
            <v>-1229.9937158599982</v>
          </cell>
          <cell r="I399">
            <v>-834.07749159279865</v>
          </cell>
          <cell r="J399">
            <v>-885.69779101440054</v>
          </cell>
          <cell r="K399">
            <v>-593.37762367519895</v>
          </cell>
          <cell r="L399">
            <v>-395.41015732400041</v>
          </cell>
          <cell r="M399">
            <v>-1575.8837771767985</v>
          </cell>
          <cell r="N399">
            <v>-2019.4669754162119</v>
          </cell>
          <cell r="O399">
            <v>-787.91260089359957</v>
          </cell>
          <cell r="P399">
            <v>-468.24755002479861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38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8.4695</v>
          </cell>
          <cell r="F271">
            <v>7.2828320000000026</v>
          </cell>
          <cell r="G271">
            <v>3.1473329999999997</v>
          </cell>
          <cell r="H271">
            <v>-2.9269159999999985</v>
          </cell>
          <cell r="I271">
            <v>-7.2745850000000019</v>
          </cell>
          <cell r="J271">
            <v>-8.7195319999999974</v>
          </cell>
          <cell r="K271">
            <v>-27.800486999999997</v>
          </cell>
          <cell r="L271">
            <v>2.7035149999999959</v>
          </cell>
          <cell r="M271">
            <v>-6.5838600000000085</v>
          </cell>
          <cell r="N271">
            <v>6.5656600000000083</v>
          </cell>
          <cell r="O271">
            <v>-0.53138099999999611</v>
          </cell>
          <cell r="P271">
            <v>-15.659403000000012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938.90098099999989</v>
          </cell>
          <cell r="F329">
            <v>123.14842100000028</v>
          </cell>
          <cell r="G329">
            <v>132.07451399999974</v>
          </cell>
          <cell r="H329">
            <v>715.55771747500012</v>
          </cell>
          <cell r="I329">
            <v>1056.2925749999999</v>
          </cell>
          <cell r="J329">
            <v>988.71981999999844</v>
          </cell>
          <cell r="K329">
            <v>318.3752780249996</v>
          </cell>
          <cell r="L329">
            <v>584.0004360000014</v>
          </cell>
          <cell r="M329">
            <v>1152.8682095000001</v>
          </cell>
          <cell r="N329">
            <v>-216.53348274999558</v>
          </cell>
          <cell r="O329">
            <v>1283.4467444950019</v>
          </cell>
          <cell r="P329">
            <v>1708.2700977499967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-0.60435249999996454</v>
          </cell>
          <cell r="F374">
            <v>-2.057262499999895</v>
          </cell>
          <cell r="G374">
            <v>0</v>
          </cell>
          <cell r="H374">
            <v>-114.01187500000022</v>
          </cell>
          <cell r="I374">
            <v>-124.68749999999986</v>
          </cell>
          <cell r="J374">
            <v>-53.157164999999992</v>
          </cell>
          <cell r="K374">
            <v>-19.457467499999836</v>
          </cell>
          <cell r="L374">
            <v>-32.223162500000001</v>
          </cell>
          <cell r="M374">
            <v>-3.2419999999999618</v>
          </cell>
          <cell r="N374">
            <v>2.676500000006854E-2</v>
          </cell>
          <cell r="O374">
            <v>-32.579065000000014</v>
          </cell>
          <cell r="P374">
            <v>-0.58796749999999065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-189.3532257</v>
          </cell>
          <cell r="F399">
            <v>-25.674798100000114</v>
          </cell>
          <cell r="G399">
            <v>-27.044369400000051</v>
          </cell>
          <cell r="H399">
            <v>-119.723785295</v>
          </cell>
          <cell r="I399">
            <v>-184.86609800000005</v>
          </cell>
          <cell r="J399">
            <v>-185.36862459999986</v>
          </cell>
          <cell r="K399">
            <v>-54.223464704999699</v>
          </cell>
          <cell r="L399">
            <v>-110.89615770000013</v>
          </cell>
          <cell r="M399">
            <v>-228.60846990000059</v>
          </cell>
          <cell r="N399">
            <v>41.988211549999505</v>
          </cell>
          <cell r="O399">
            <v>-296.08259539900013</v>
          </cell>
          <cell r="P399">
            <v>-419.33358534999888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39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70.875000000000071</v>
          </cell>
          <cell r="F329">
            <v>83.061444999999722</v>
          </cell>
          <cell r="G329">
            <v>136.31445499999987</v>
          </cell>
          <cell r="H329">
            <v>54.121596524999973</v>
          </cell>
          <cell r="I329">
            <v>105.94875000000036</v>
          </cell>
          <cell r="J329">
            <v>375.0137650000006</v>
          </cell>
          <cell r="K329">
            <v>287.33963847500115</v>
          </cell>
          <cell r="L329">
            <v>222.89311999999927</v>
          </cell>
          <cell r="M329">
            <v>643.64605999999958</v>
          </cell>
          <cell r="N329">
            <v>11.860148749998416</v>
          </cell>
          <cell r="O329">
            <v>185.83612999999946</v>
          </cell>
          <cell r="P329">
            <v>80.565306250000503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-14.175000000000015</v>
          </cell>
          <cell r="F399">
            <v>-16.612288999999944</v>
          </cell>
          <cell r="G399">
            <v>-27.262890999999975</v>
          </cell>
          <cell r="H399">
            <v>-10.824319304999996</v>
          </cell>
          <cell r="I399">
            <v>-21.189750000000075</v>
          </cell>
          <cell r="J399">
            <v>-75.002753000000126</v>
          </cell>
          <cell r="K399">
            <v>-57.467927695000235</v>
          </cell>
          <cell r="L399">
            <v>-44.578623999999856</v>
          </cell>
          <cell r="M399">
            <v>-128.72921199999993</v>
          </cell>
          <cell r="N399">
            <v>-2.3720297499996832</v>
          </cell>
          <cell r="O399">
            <v>-37.167225999999893</v>
          </cell>
          <cell r="P399">
            <v>-16.113061250000101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40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346293.38957999996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172.72080000000014</v>
          </cell>
          <cell r="F271">
            <v>271.85317999999995</v>
          </cell>
          <cell r="G271">
            <v>183.71972794177276</v>
          </cell>
          <cell r="H271">
            <v>214.92868619499058</v>
          </cell>
          <cell r="I271">
            <v>184.90554810339262</v>
          </cell>
          <cell r="J271">
            <v>217.60708481815931</v>
          </cell>
          <cell r="K271">
            <v>187.35882999999885</v>
          </cell>
          <cell r="L271">
            <v>195.98623856159972</v>
          </cell>
          <cell r="M271">
            <v>225.75342638008297</v>
          </cell>
          <cell r="N271">
            <v>197.80684021113763</v>
          </cell>
          <cell r="O271">
            <v>225.37166436825319</v>
          </cell>
          <cell r="P271">
            <v>185.64153966099934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-161.17173549426317</v>
          </cell>
          <cell r="J278">
            <v>-1.0288364259736227E-3</v>
          </cell>
          <cell r="K278">
            <v>0</v>
          </cell>
          <cell r="L278">
            <v>-3</v>
          </cell>
          <cell r="M278">
            <v>-44.540275669310859</v>
          </cell>
          <cell r="N278">
            <v>-810.38511243451796</v>
          </cell>
          <cell r="O278">
            <v>-7.501611342459455</v>
          </cell>
          <cell r="P278">
            <v>948.18489459551427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390.29599999999999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-10.240089999999999</v>
          </cell>
          <cell r="F368">
            <v>-0.34967999999999994</v>
          </cell>
          <cell r="G368">
            <v>3.3695999999999993</v>
          </cell>
          <cell r="H368">
            <v>-5.7033099999999992</v>
          </cell>
          <cell r="I368">
            <v>-9.908240000000001</v>
          </cell>
          <cell r="J368">
            <v>1.3086900000000012</v>
          </cell>
          <cell r="K368">
            <v>4.6173799999999989</v>
          </cell>
          <cell r="L368">
            <v>-8.4493999999999989</v>
          </cell>
          <cell r="M368">
            <v>5.3078099999999981</v>
          </cell>
          <cell r="N368">
            <v>-11.126429999999999</v>
          </cell>
          <cell r="O368">
            <v>-6.9574699999999998</v>
          </cell>
          <cell r="P368">
            <v>-25.04579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549.86382468524164</v>
          </cell>
          <cell r="H381">
            <v>-782.05274001351552</v>
          </cell>
          <cell r="I381">
            <v>-801.72203185706803</v>
          </cell>
          <cell r="J381">
            <v>-837.15295802665776</v>
          </cell>
          <cell r="K381">
            <v>-810</v>
          </cell>
          <cell r="L381">
            <v>-859.99947129386669</v>
          </cell>
          <cell r="M381">
            <v>3257.6363245058665</v>
          </cell>
          <cell r="N381">
            <v>26.864230040540001</v>
          </cell>
          <cell r="O381">
            <v>-27.799591253058395</v>
          </cell>
          <cell r="P381">
            <v>-38.571565874835663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-829.19806920406859</v>
          </cell>
          <cell r="F385">
            <v>-789.52577441785752</v>
          </cell>
          <cell r="G385">
            <v>-757.45466526122607</v>
          </cell>
          <cell r="H385">
            <v>-780.15326783974569</v>
          </cell>
          <cell r="I385">
            <v>-808.03223316098024</v>
          </cell>
          <cell r="J385">
            <v>-765.52195305471218</v>
          </cell>
          <cell r="K385">
            <v>-810.46205689992598</v>
          </cell>
          <cell r="L385">
            <v>-779.68358896964151</v>
          </cell>
          <cell r="M385">
            <v>-822.9181898736183</v>
          </cell>
          <cell r="N385">
            <v>-891.10336806943519</v>
          </cell>
          <cell r="O385">
            <v>-873.68821066763326</v>
          </cell>
          <cell r="P385">
            <v>-1211.7455320755728</v>
          </cell>
        </row>
        <row r="386">
          <cell r="E386">
            <v>-374.71822403857129</v>
          </cell>
          <cell r="F386">
            <v>-538.91640969845662</v>
          </cell>
          <cell r="G386">
            <v>-360.28509242058078</v>
          </cell>
          <cell r="H386">
            <v>-432.09786031597054</v>
          </cell>
          <cell r="I386">
            <v>-394.90273973850708</v>
          </cell>
          <cell r="J386">
            <v>-424.82446397685595</v>
          </cell>
          <cell r="K386">
            <v>-358.48487382450537</v>
          </cell>
          <cell r="L386">
            <v>-471.88924102029489</v>
          </cell>
          <cell r="M386">
            <v>-514.9723145138347</v>
          </cell>
          <cell r="N386">
            <v>-616.65590634870694</v>
          </cell>
          <cell r="O386">
            <v>-343.89641535691362</v>
          </cell>
          <cell r="P386">
            <v>-665.02234403445777</v>
          </cell>
        </row>
        <row r="387">
          <cell r="E387">
            <v>-6.7279923540320778</v>
          </cell>
          <cell r="F387">
            <v>-7.2760494502363944</v>
          </cell>
          <cell r="G387">
            <v>-13.512794535752391</v>
          </cell>
          <cell r="H387">
            <v>-55.671455440805772</v>
          </cell>
          <cell r="I387">
            <v>-58.925882545854492</v>
          </cell>
          <cell r="J387">
            <v>-5.5682855949704866</v>
          </cell>
          <cell r="K387">
            <v>-54.634328992154465</v>
          </cell>
          <cell r="L387">
            <v>-48.192333119602871</v>
          </cell>
          <cell r="M387">
            <v>-47.400547619315404</v>
          </cell>
          <cell r="N387">
            <v>-56.752809736593676</v>
          </cell>
          <cell r="O387">
            <v>-52.699473118908863</v>
          </cell>
          <cell r="P387">
            <v>-38.962226358156826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2054.8421736771888</v>
          </cell>
          <cell r="F399">
            <v>2060.6847951782242</v>
          </cell>
          <cell r="G399">
            <v>1843.0803611304141</v>
          </cell>
          <cell r="H399">
            <v>2353.3616760367167</v>
          </cell>
          <cell r="I399">
            <v>2330.5012966403629</v>
          </cell>
          <cell r="J399">
            <v>2333.6574716559885</v>
          </cell>
          <cell r="K399">
            <v>2343.6550864968381</v>
          </cell>
          <cell r="L399">
            <v>2387.281561716909</v>
          </cell>
          <cell r="M399">
            <v>755.68179995243418</v>
          </cell>
          <cell r="N399">
            <v>2165.0603576166168</v>
          </cell>
          <cell r="O399">
            <v>2066.2613942538756</v>
          </cell>
          <cell r="P399">
            <v>2871.2599714916882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41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42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211.28152999999998</v>
          </cell>
          <cell r="F271">
            <v>174.64855</v>
          </cell>
          <cell r="G271">
            <v>167.78298000000001</v>
          </cell>
          <cell r="H271">
            <v>356.91960999999998</v>
          </cell>
          <cell r="I271">
            <v>181.46373</v>
          </cell>
          <cell r="J271">
            <v>196.29881</v>
          </cell>
          <cell r="K271">
            <v>188.59028999999995</v>
          </cell>
          <cell r="L271">
            <v>209.03246999999999</v>
          </cell>
          <cell r="M271">
            <v>171.34515000000005</v>
          </cell>
          <cell r="N271">
            <v>178.32801999999992</v>
          </cell>
          <cell r="O271">
            <v>186.44735999999989</v>
          </cell>
          <cell r="P271">
            <v>226.81342000000009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56.577469999999998</v>
          </cell>
          <cell r="F322">
            <v>47.643470000000001</v>
          </cell>
          <cell r="G322">
            <v>45.699089999999998</v>
          </cell>
          <cell r="H322">
            <v>49.597280000000012</v>
          </cell>
          <cell r="I322">
            <v>53.018860000000018</v>
          </cell>
          <cell r="J322">
            <v>55.076509999999985</v>
          </cell>
          <cell r="K322">
            <v>52.116019999999992</v>
          </cell>
          <cell r="L322">
            <v>46.644659999999988</v>
          </cell>
          <cell r="M322">
            <v>51.638869999999997</v>
          </cell>
          <cell r="N322">
            <v>292.51210999999995</v>
          </cell>
          <cell r="O322">
            <v>-27.062990000000013</v>
          </cell>
          <cell r="P322">
            <v>183.26769000000002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-11.428000000000001</v>
          </cell>
          <cell r="F329">
            <v>-14.407</v>
          </cell>
          <cell r="G329">
            <v>-15.158000000000001</v>
          </cell>
          <cell r="H329">
            <v>-11.802999999999997</v>
          </cell>
          <cell r="I329">
            <v>-14.988000000000007</v>
          </cell>
          <cell r="J329">
            <v>-14.643000000000001</v>
          </cell>
          <cell r="K329">
            <v>-10.988</v>
          </cell>
          <cell r="L329">
            <v>-9.269999999999996</v>
          </cell>
          <cell r="M329">
            <v>-19.597000000000008</v>
          </cell>
          <cell r="N329">
            <v>-11.745000000000005</v>
          </cell>
          <cell r="O329">
            <v>-14.384999999999991</v>
          </cell>
          <cell r="P329">
            <v>-12.846000000000004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-40.56776</v>
          </cell>
          <cell r="F383">
            <v>-39.818820000000009</v>
          </cell>
          <cell r="G383">
            <v>-37.630240000000001</v>
          </cell>
          <cell r="H383">
            <v>-48.51485000000001</v>
          </cell>
          <cell r="I383">
            <v>-51.745949999999993</v>
          </cell>
          <cell r="J383">
            <v>-95.886430000000018</v>
          </cell>
          <cell r="K383">
            <v>-57.69177000000002</v>
          </cell>
          <cell r="L383">
            <v>-53.643619999999999</v>
          </cell>
          <cell r="M383">
            <v>-55.015120000000024</v>
          </cell>
          <cell r="N383">
            <v>-51.560410000000047</v>
          </cell>
          <cell r="O383">
            <v>-52.754210000000057</v>
          </cell>
          <cell r="P383">
            <v>-38.906029999999987</v>
          </cell>
        </row>
        <row r="385">
          <cell r="E385">
            <v>-112.87999207692305</v>
          </cell>
          <cell r="F385">
            <v>-106.2812503638737</v>
          </cell>
          <cell r="G385">
            <v>-101.95023366980458</v>
          </cell>
          <cell r="H385">
            <v>-105.35357670545025</v>
          </cell>
          <cell r="I385">
            <v>-109.71640440142201</v>
          </cell>
          <cell r="J385">
            <v>-105.31660458051989</v>
          </cell>
          <cell r="K385">
            <v>-111.18038401106919</v>
          </cell>
          <cell r="L385">
            <v>-106.9786706796194</v>
          </cell>
          <cell r="M385">
            <v>-112.63055884114229</v>
          </cell>
          <cell r="N385">
            <v>-123.00603544756252</v>
          </cell>
          <cell r="O385">
            <v>-119.17478337791241</v>
          </cell>
          <cell r="P385">
            <v>-174.06015592285394</v>
          </cell>
        </row>
        <row r="386">
          <cell r="E386">
            <v>-56.413891661657388</v>
          </cell>
          <cell r="F386">
            <v>-80.657580553119416</v>
          </cell>
          <cell r="G386">
            <v>-54.657198838959033</v>
          </cell>
          <cell r="H386">
            <v>-65.563544511268319</v>
          </cell>
          <cell r="I386">
            <v>-52.847186846220794</v>
          </cell>
          <cell r="J386">
            <v>-64.981544963918211</v>
          </cell>
          <cell r="K386">
            <v>-54.785342771036071</v>
          </cell>
          <cell r="L386">
            <v>-69.476069208728376</v>
          </cell>
          <cell r="M386">
            <v>-70.334714110359059</v>
          </cell>
          <cell r="N386">
            <v>-90.950424171999686</v>
          </cell>
          <cell r="O386">
            <v>-51.074384099127926</v>
          </cell>
          <cell r="P386">
            <v>-65.625654053737364</v>
          </cell>
        </row>
        <row r="387">
          <cell r="E387">
            <v>-0.79302029898060389</v>
          </cell>
          <cell r="F387">
            <v>-0.82460976021631893</v>
          </cell>
          <cell r="G387">
            <v>-1.6146008286635012</v>
          </cell>
          <cell r="H387">
            <v>-7.6977055730897268</v>
          </cell>
          <cell r="I387">
            <v>-8.2630674216133535</v>
          </cell>
          <cell r="J387">
            <v>-0.5414482710591888</v>
          </cell>
          <cell r="K387">
            <v>-7.780899756224847</v>
          </cell>
          <cell r="L387">
            <v>-6.7297378280219231</v>
          </cell>
          <cell r="M387">
            <v>-6.6675566545799487</v>
          </cell>
          <cell r="N387">
            <v>-7.9710251166135855</v>
          </cell>
          <cell r="O387">
            <v>-7.4226807083266362</v>
          </cell>
          <cell r="P387">
            <v>-5.6604458341064161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-18.536778290327767</v>
          </cell>
          <cell r="F399">
            <v>4.807047606504236</v>
          </cell>
          <cell r="G399">
            <v>-3.3856459851765308</v>
          </cell>
          <cell r="H399">
            <v>-62.936345608509775</v>
          </cell>
          <cell r="I399">
            <v>-1.3376332043907624</v>
          </cell>
          <cell r="J399">
            <v>8.5162576448410263</v>
          </cell>
          <cell r="K399">
            <v>-1.175920500047809</v>
          </cell>
          <cell r="L399">
            <v>-5.0070477512414229</v>
          </cell>
          <cell r="M399">
            <v>11.805070376613587</v>
          </cell>
          <cell r="N399">
            <v>-69.487213636031953</v>
          </cell>
          <cell r="O399">
            <v>28.736174499473645</v>
          </cell>
          <cell r="P399">
            <v>-43.232492004906057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43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625.22266999999999</v>
          </cell>
          <cell r="F271">
            <v>430.21514000000008</v>
          </cell>
          <cell r="G271">
            <v>576.72446000000014</v>
          </cell>
          <cell r="H271">
            <v>665.82593999999983</v>
          </cell>
          <cell r="I271">
            <v>505.75027999999998</v>
          </cell>
          <cell r="J271">
            <v>507.09388999999999</v>
          </cell>
          <cell r="K271">
            <v>634.26608999999996</v>
          </cell>
          <cell r="L271">
            <v>586.13625999999999</v>
          </cell>
          <cell r="M271">
            <v>664.01509999999985</v>
          </cell>
          <cell r="N271">
            <v>707.97318999999993</v>
          </cell>
          <cell r="O271">
            <v>703.42665999999974</v>
          </cell>
          <cell r="P271">
            <v>858.89020999999957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248.20198000000002</v>
          </cell>
          <cell r="F322">
            <v>246.98684</v>
          </cell>
          <cell r="G322">
            <v>238.13319000000007</v>
          </cell>
          <cell r="H322">
            <v>265.57875999999999</v>
          </cell>
          <cell r="I322">
            <v>231.09666000000004</v>
          </cell>
          <cell r="J322">
            <v>169.35726999999997</v>
          </cell>
          <cell r="K322">
            <v>246.68129999999996</v>
          </cell>
          <cell r="L322">
            <v>231.80117999999993</v>
          </cell>
          <cell r="M322">
            <v>221.36095999999998</v>
          </cell>
          <cell r="N322">
            <v>233.90949000000001</v>
          </cell>
          <cell r="O322">
            <v>221.52410999999984</v>
          </cell>
          <cell r="P322">
            <v>202.66411000000016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-51.32967</v>
          </cell>
          <cell r="F383">
            <v>-49.333760000000005</v>
          </cell>
          <cell r="G383">
            <v>-46.099980000000016</v>
          </cell>
          <cell r="H383">
            <v>-67.638120000000015</v>
          </cell>
          <cell r="I383">
            <v>-69.559439999999995</v>
          </cell>
          <cell r="J383">
            <v>-67.298420000000021</v>
          </cell>
          <cell r="K383">
            <v>-75.640030000000024</v>
          </cell>
          <cell r="L383">
            <v>-76.257670000000019</v>
          </cell>
          <cell r="M383">
            <v>-74.832600000000014</v>
          </cell>
          <cell r="N383">
            <v>-88.767680000000041</v>
          </cell>
          <cell r="O383">
            <v>-72.837729999999965</v>
          </cell>
          <cell r="P383">
            <v>-43.595540000000028</v>
          </cell>
        </row>
        <row r="385">
          <cell r="E385">
            <v>-66.480341199999998</v>
          </cell>
          <cell r="F385">
            <v>-74.201050299999991</v>
          </cell>
          <cell r="G385">
            <v>-74.414576600000032</v>
          </cell>
          <cell r="H385">
            <v>-65.045086600000019</v>
          </cell>
          <cell r="I385">
            <v>-74.061837200000014</v>
          </cell>
          <cell r="J385">
            <v>-68.507193299999983</v>
          </cell>
          <cell r="K385">
            <v>-82.004278200000044</v>
          </cell>
          <cell r="L385">
            <v>-73.900408400000003</v>
          </cell>
          <cell r="M385">
            <v>-74.299761900000021</v>
          </cell>
          <cell r="N385">
            <v>-84.559757099999956</v>
          </cell>
          <cell r="O385">
            <v>-77.188104500000009</v>
          </cell>
          <cell r="P385">
            <v>-74.594917799999962</v>
          </cell>
        </row>
        <row r="386">
          <cell r="E386">
            <v>-80.153988200000015</v>
          </cell>
          <cell r="F386">
            <v>-95.430771800000002</v>
          </cell>
          <cell r="G386">
            <v>-76.81113830000001</v>
          </cell>
          <cell r="H386">
            <v>-75.380320599999976</v>
          </cell>
          <cell r="I386">
            <v>-66.722909500000014</v>
          </cell>
          <cell r="J386">
            <v>-79.623259299999972</v>
          </cell>
          <cell r="K386">
            <v>-75.916153300000019</v>
          </cell>
          <cell r="L386">
            <v>-92.035708699999986</v>
          </cell>
          <cell r="M386">
            <v>-96.149099799999931</v>
          </cell>
          <cell r="N386">
            <v>-78.353581800000029</v>
          </cell>
          <cell r="O386">
            <v>-74.29134959999999</v>
          </cell>
          <cell r="P386">
            <v>-102.18947830000002</v>
          </cell>
        </row>
        <row r="387">
          <cell r="E387">
            <v>-1.0662964000000001</v>
          </cell>
          <cell r="F387">
            <v>-0.9680879</v>
          </cell>
          <cell r="G387">
            <v>-2.2707672000000008</v>
          </cell>
          <cell r="H387">
            <v>-15.2558653</v>
          </cell>
          <cell r="I387">
            <v>-16.796902199999995</v>
          </cell>
          <cell r="J387">
            <v>-0.23535460000000796</v>
          </cell>
          <cell r="K387">
            <v>-16.245966099999997</v>
          </cell>
          <cell r="L387">
            <v>-13.577652400000012</v>
          </cell>
          <cell r="M387">
            <v>-13.626644199999987</v>
          </cell>
          <cell r="N387">
            <v>-16.248571300000009</v>
          </cell>
          <cell r="O387">
            <v>-15.205520200000009</v>
          </cell>
          <cell r="P387">
            <v>-12.211258799999996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-245.47954492879998</v>
          </cell>
          <cell r="F399">
            <v>-166.44566484000001</v>
          </cell>
          <cell r="G399">
            <v>-223.95507239560004</v>
          </cell>
          <cell r="H399">
            <v>-257.74305192999992</v>
          </cell>
          <cell r="I399">
            <v>-185.53292980040001</v>
          </cell>
          <cell r="J399">
            <v>-167.72644353920003</v>
          </cell>
          <cell r="K399">
            <v>-229.73531031359991</v>
          </cell>
          <cell r="L399">
            <v>-204.62842418199995</v>
          </cell>
          <cell r="M399">
            <v>-228.03433529239996</v>
          </cell>
          <cell r="N399">
            <v>-245.31892468719997</v>
          </cell>
          <cell r="O399">
            <v>-249.49581591479983</v>
          </cell>
          <cell r="P399">
            <v>-301.74257753639989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44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35062.5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165.01660000000001</v>
          </cell>
          <cell r="F271">
            <v>149.02351999999999</v>
          </cell>
          <cell r="G271">
            <v>190.43364</v>
          </cell>
          <cell r="H271">
            <v>306.16726999999997</v>
          </cell>
          <cell r="I271">
            <v>274.42293999999998</v>
          </cell>
          <cell r="J271">
            <v>181.78249000000019</v>
          </cell>
          <cell r="K271">
            <v>189.05553999999992</v>
          </cell>
          <cell r="L271">
            <v>191.57437999999982</v>
          </cell>
          <cell r="M271">
            <v>163.92225000000013</v>
          </cell>
          <cell r="N271">
            <v>190.83207000000002</v>
          </cell>
          <cell r="O271">
            <v>140.80334000000011</v>
          </cell>
          <cell r="P271">
            <v>58.215609999999884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234.22689000000003</v>
          </cell>
          <cell r="F329">
            <v>282.13926000000004</v>
          </cell>
          <cell r="G329">
            <v>-194.76305000000008</v>
          </cell>
          <cell r="H329">
            <v>710.88804000000005</v>
          </cell>
          <cell r="I329">
            <v>165.84750999999994</v>
          </cell>
          <cell r="J329">
            <v>42.454060000000027</v>
          </cell>
          <cell r="K329">
            <v>476.87729000000002</v>
          </cell>
          <cell r="L329">
            <v>127.23577999999998</v>
          </cell>
          <cell r="M329">
            <v>301.94595000000004</v>
          </cell>
          <cell r="N329">
            <v>480.63398000000007</v>
          </cell>
          <cell r="O329">
            <v>47.736970000000383</v>
          </cell>
          <cell r="P329">
            <v>94.04362999999978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-80.10216214673278</v>
          </cell>
          <cell r="F385">
            <v>-75.419547726429798</v>
          </cell>
          <cell r="G385">
            <v>-72.346161600993881</v>
          </cell>
          <cell r="H385">
            <v>-74.761249790373455</v>
          </cell>
          <cell r="I385">
            <v>-77.857209712862215</v>
          </cell>
          <cell r="J385">
            <v>-74.735013545210847</v>
          </cell>
          <cell r="K385">
            <v>-78.896082323621712</v>
          </cell>
          <cell r="L385">
            <v>-75.914452750680837</v>
          </cell>
          <cell r="M385">
            <v>-79.925158754637621</v>
          </cell>
          <cell r="N385">
            <v>-87.287828561619307</v>
          </cell>
          <cell r="O385">
            <v>-84.569086569690626</v>
          </cell>
          <cell r="P385">
            <v>-123.51697210889905</v>
          </cell>
        </row>
        <row r="386">
          <cell r="E386">
            <v>-40.032556824869992</v>
          </cell>
          <cell r="F386">
            <v>-57.236419643140401</v>
          </cell>
          <cell r="G386">
            <v>-38.785968384024827</v>
          </cell>
          <cell r="H386">
            <v>-46.525354730511289</v>
          </cell>
          <cell r="I386">
            <v>-37.501543469899673</v>
          </cell>
          <cell r="J386">
            <v>-46.1123548599993</v>
          </cell>
          <cell r="K386">
            <v>-38.876902178725615</v>
          </cell>
          <cell r="L386">
            <v>-49.301769593346044</v>
          </cell>
          <cell r="M386">
            <v>-49.911083182684543</v>
          </cell>
          <cell r="N386">
            <v>-64.540451237585131</v>
          </cell>
          <cell r="O386">
            <v>-36.243523067089626</v>
          </cell>
          <cell r="P386">
            <v>-46.569429048290445</v>
          </cell>
        </row>
        <row r="387">
          <cell r="E387">
            <v>-0.56274490638967067</v>
          </cell>
          <cell r="F387">
            <v>-0.58516149323977285</v>
          </cell>
          <cell r="G387">
            <v>-1.1457567900227863</v>
          </cell>
          <cell r="H387">
            <v>-5.4624637070602615</v>
          </cell>
          <cell r="I387">
            <v>-5.8636570950891596</v>
          </cell>
          <cell r="J387">
            <v>-0.38422377964817156</v>
          </cell>
          <cell r="K387">
            <v>-5.5215001565190178</v>
          </cell>
          <cell r="L387">
            <v>-4.7755721876544914</v>
          </cell>
          <cell r="M387">
            <v>-4.7314470389378984</v>
          </cell>
          <cell r="N387">
            <v>-5.6564173563331961</v>
          </cell>
          <cell r="O387">
            <v>-5.2672999237688538</v>
          </cell>
          <cell r="P387">
            <v>-4.0167787194510716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-46.609669508410775</v>
          </cell>
          <cell r="F399">
            <v>-85.128093013937175</v>
          </cell>
          <cell r="G399">
            <v>26.77108402611513</v>
          </cell>
          <cell r="H399">
            <v>-244.34221600502798</v>
          </cell>
          <cell r="I399">
            <v>-94.638826458862198</v>
          </cell>
          <cell r="J399">
            <v>-16.781916644711639</v>
          </cell>
          <cell r="K399">
            <v>-164.16620170417264</v>
          </cell>
          <cell r="L399">
            <v>-39.74419703046793</v>
          </cell>
          <cell r="M399">
            <v>-99.245058012641351</v>
          </cell>
          <cell r="N399">
            <v>-153.62845643538438</v>
          </cell>
          <cell r="O399">
            <v>-9.6180457599602676</v>
          </cell>
          <cell r="P399">
            <v>16.59530611509723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45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122083.10129999999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184.58687999999995</v>
          </cell>
          <cell r="F271">
            <v>26.528680000000051</v>
          </cell>
          <cell r="G271">
            <v>783.88885000000005</v>
          </cell>
          <cell r="H271">
            <v>-382.12583000000001</v>
          </cell>
          <cell r="I271">
            <v>107.77780000000001</v>
          </cell>
          <cell r="J271">
            <v>106.54851999999971</v>
          </cell>
          <cell r="K271">
            <v>127.30510000000015</v>
          </cell>
          <cell r="L271">
            <v>130.40895999999969</v>
          </cell>
          <cell r="M271">
            <v>121.48151000000047</v>
          </cell>
          <cell r="N271">
            <v>124.35041999999999</v>
          </cell>
          <cell r="O271">
            <v>519.41929000000005</v>
          </cell>
          <cell r="P271">
            <v>-270.45613999999955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18.864810000000002</v>
          </cell>
          <cell r="H329">
            <v>-18.864810000000002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3.7777800000000004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-20.4554896</v>
          </cell>
          <cell r="F385">
            <v>-22.831092400000003</v>
          </cell>
          <cell r="G385">
            <v>-22.896792799999993</v>
          </cell>
          <cell r="H385">
            <v>-20.013872800000016</v>
          </cell>
          <cell r="I385">
            <v>-22.788257599999994</v>
          </cell>
          <cell r="J385">
            <v>-21.07913640000001</v>
          </cell>
          <cell r="K385">
            <v>-25.232085600000005</v>
          </cell>
          <cell r="L385">
            <v>-22.738587200000012</v>
          </cell>
          <cell r="M385">
            <v>-22.861465199999969</v>
          </cell>
          <cell r="N385">
            <v>-26.01838680000003</v>
          </cell>
          <cell r="O385">
            <v>-23.750185999999985</v>
          </cell>
          <cell r="P385">
            <v>-22.952282400000001</v>
          </cell>
        </row>
        <row r="386">
          <cell r="E386">
            <v>-24.662765600000004</v>
          </cell>
          <cell r="F386">
            <v>-29.363314399999997</v>
          </cell>
          <cell r="G386">
            <v>-23.6341964</v>
          </cell>
          <cell r="H386">
            <v>-23.193944799999997</v>
          </cell>
          <cell r="I386">
            <v>-20.530125999999996</v>
          </cell>
          <cell r="J386">
            <v>-24.499464400000008</v>
          </cell>
          <cell r="K386">
            <v>-23.358816399999995</v>
          </cell>
          <cell r="L386">
            <v>-28.318679599999996</v>
          </cell>
          <cell r="M386">
            <v>-29.584338399999979</v>
          </cell>
          <cell r="N386">
            <v>-24.108794400000022</v>
          </cell>
          <cell r="O386">
            <v>-22.85887679999999</v>
          </cell>
          <cell r="P386">
            <v>-31.442916400000001</v>
          </cell>
        </row>
        <row r="387">
          <cell r="E387">
            <v>-0.32809120000000003</v>
          </cell>
          <cell r="F387">
            <v>-0.29787319999999995</v>
          </cell>
          <cell r="G387">
            <v>-0.69869760000000025</v>
          </cell>
          <cell r="H387">
            <v>-4.6941123999999999</v>
          </cell>
          <cell r="I387">
            <v>-5.1682775999999997</v>
          </cell>
          <cell r="J387">
            <v>-7.2416800000000947E-2</v>
          </cell>
          <cell r="K387">
            <v>-4.9987588000000009</v>
          </cell>
          <cell r="L387">
            <v>-4.1777392000000013</v>
          </cell>
          <cell r="M387">
            <v>-4.1928135999999974</v>
          </cell>
          <cell r="N387">
            <v>-4.9995604</v>
          </cell>
          <cell r="O387">
            <v>-4.6786216000000032</v>
          </cell>
          <cell r="P387">
            <v>-3.7573104000000015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-50.647154230399984</v>
          </cell>
          <cell r="F399">
            <v>9.4507503999999809</v>
          </cell>
          <cell r="G399">
            <v>-275.01072624480008</v>
          </cell>
          <cell r="H399">
            <v>163.39689547999998</v>
          </cell>
          <cell r="I399">
            <v>-21.58197452320001</v>
          </cell>
          <cell r="J399">
            <v>-22.166690873599887</v>
          </cell>
          <cell r="K399">
            <v>-26.832419868800052</v>
          </cell>
          <cell r="L399">
            <v>-27.363319255999883</v>
          </cell>
          <cell r="M399">
            <v>-23.602812979200191</v>
          </cell>
          <cell r="N399">
            <v>-25.197418937599974</v>
          </cell>
          <cell r="O399">
            <v>-170.39990443840003</v>
          </cell>
          <cell r="P399">
            <v>118.23843638879983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46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1850292.9414099997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1073.8582820000001</v>
          </cell>
          <cell r="F271">
            <v>1244.6555149999995</v>
          </cell>
          <cell r="G271">
            <v>1285.4852789999977</v>
          </cell>
          <cell r="H271">
            <v>1377.1649560000055</v>
          </cell>
          <cell r="I271">
            <v>1412.3724789999994</v>
          </cell>
          <cell r="J271">
            <v>1840.0191179999847</v>
          </cell>
          <cell r="K271">
            <v>1383.9572160000121</v>
          </cell>
          <cell r="L271">
            <v>1692.5499730000001</v>
          </cell>
          <cell r="M271">
            <v>2020.4586909999678</v>
          </cell>
          <cell r="N271">
            <v>1970.5890853167807</v>
          </cell>
          <cell r="O271">
            <v>2791.8684960000137</v>
          </cell>
          <cell r="P271">
            <v>1535.8980939999656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147.57018900000003</v>
          </cell>
          <cell r="F329">
            <v>69.96610199999995</v>
          </cell>
          <cell r="G329">
            <v>162.39323300000009</v>
          </cell>
          <cell r="H329">
            <v>342.72631199999995</v>
          </cell>
          <cell r="I329">
            <v>124.35686299999998</v>
          </cell>
          <cell r="J329">
            <v>5.7195549999999002</v>
          </cell>
          <cell r="K329">
            <v>182.99533699999995</v>
          </cell>
          <cell r="L329">
            <v>933.2150979999999</v>
          </cell>
          <cell r="M329">
            <v>-75.861708999999792</v>
          </cell>
          <cell r="N329">
            <v>317.30678099999977</v>
          </cell>
          <cell r="O329">
            <v>-92.423789999999826</v>
          </cell>
          <cell r="P329">
            <v>51.301348999999846</v>
          </cell>
        </row>
        <row r="330">
          <cell r="E330">
            <v>325.72635999999989</v>
          </cell>
          <cell r="F330">
            <v>1268.3076400000002</v>
          </cell>
          <cell r="G330">
            <v>225.79374999999979</v>
          </cell>
          <cell r="H330">
            <v>674.79742999999962</v>
          </cell>
          <cell r="I330">
            <v>642.75008000000162</v>
          </cell>
          <cell r="J330">
            <v>1112.5442099999991</v>
          </cell>
          <cell r="K330">
            <v>1477.3395300000002</v>
          </cell>
          <cell r="L330">
            <v>832.69695000000559</v>
          </cell>
          <cell r="M330">
            <v>1074.4040899999959</v>
          </cell>
          <cell r="N330">
            <v>1016.6967399999958</v>
          </cell>
          <cell r="O330">
            <v>906.88929000000417</v>
          </cell>
          <cell r="P330">
            <v>472.55530999999735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1500</v>
          </cell>
          <cell r="G367">
            <v>0</v>
          </cell>
          <cell r="H367">
            <v>-0.28611000000000786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-711.82369497490652</v>
          </cell>
          <cell r="F385">
            <v>-672.95812400571458</v>
          </cell>
          <cell r="G385">
            <v>-645.5667051776428</v>
          </cell>
          <cell r="H385">
            <v>-666.31001218828851</v>
          </cell>
          <cell r="I385">
            <v>-692.52100948422242</v>
          </cell>
          <cell r="J385">
            <v>-661.59609329501893</v>
          </cell>
          <cell r="K385">
            <v>-699.15539320178129</v>
          </cell>
          <cell r="L385">
            <v>-672.68633056913461</v>
          </cell>
          <cell r="M385">
            <v>-708.8629508750422</v>
          </cell>
          <cell r="N385">
            <v>-771.78483950565908</v>
          </cell>
          <cell r="O385">
            <v>-750.9726047215529</v>
          </cell>
          <cell r="P385">
            <v>-1076.7605512013686</v>
          </cell>
        </row>
        <row r="386">
          <cell r="E386">
            <v>-348.04451384861443</v>
          </cell>
          <cell r="F386">
            <v>-497.61552668942687</v>
          </cell>
          <cell r="G386">
            <v>-337.20662833055235</v>
          </cell>
          <cell r="H386">
            <v>-404.49313641529363</v>
          </cell>
          <cell r="I386">
            <v>-326.03979112933683</v>
          </cell>
          <cell r="J386">
            <v>-400.90250042917114</v>
          </cell>
          <cell r="K386">
            <v>-337.99721006899881</v>
          </cell>
          <cell r="L386">
            <v>-428.63138882332095</v>
          </cell>
          <cell r="M386">
            <v>-433.92878346414727</v>
          </cell>
          <cell r="N386">
            <v>-561.11704463004878</v>
          </cell>
          <cell r="O386">
            <v>-315.1025157156505</v>
          </cell>
          <cell r="P386">
            <v>-404.87632014676888</v>
          </cell>
        </row>
        <row r="387">
          <cell r="E387">
            <v>-4.8925248072963434</v>
          </cell>
          <cell r="F387">
            <v>-5.0874154336063313</v>
          </cell>
          <cell r="G387">
            <v>-9.9612514563270018</v>
          </cell>
          <cell r="H387">
            <v>-47.490859343722747</v>
          </cell>
          <cell r="I387">
            <v>-50.978849339131941</v>
          </cell>
          <cell r="J387">
            <v>-3.3404555992198866</v>
          </cell>
          <cell r="K387">
            <v>-48.004124395493243</v>
          </cell>
          <cell r="L387">
            <v>-41.518999340271826</v>
          </cell>
          <cell r="M387">
            <v>-41.13537368276635</v>
          </cell>
          <cell r="N387">
            <v>-49.177099467371988</v>
          </cell>
          <cell r="O387">
            <v>-45.79409827063742</v>
          </cell>
          <cell r="P387">
            <v>-34.922021163042473</v>
          </cell>
        </row>
        <row r="389">
          <cell r="E389">
            <v>0</v>
          </cell>
          <cell r="F389">
            <v>432.35377199999999</v>
          </cell>
          <cell r="G389">
            <v>-432.35377199999999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-159.22419390638248</v>
          </cell>
          <cell r="F399">
            <v>-1171.487540437136</v>
          </cell>
          <cell r="G399">
            <v>-83.178326020913062</v>
          </cell>
          <cell r="H399">
            <v>-423.31745767418283</v>
          </cell>
          <cell r="I399">
            <v>-367.52442855522065</v>
          </cell>
          <cell r="J399">
            <v>-663.85882837027305</v>
          </cell>
          <cell r="K399">
            <v>-667.81411037748092</v>
          </cell>
          <cell r="L399">
            <v>-767.84725106428914</v>
          </cell>
          <cell r="M399">
            <v>-653.7304801299947</v>
          </cell>
          <cell r="N399">
            <v>-628.69443833678588</v>
          </cell>
          <cell r="O399">
            <v>-834.40428212635197</v>
          </cell>
          <cell r="P399">
            <v>-158.24058986191733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47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591007.48522999964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514.37260000000003</v>
          </cell>
          <cell r="F271">
            <v>605.7672199999987</v>
          </cell>
          <cell r="G271">
            <v>35.510749999999859</v>
          </cell>
          <cell r="H271">
            <v>1112.4768700000018</v>
          </cell>
          <cell r="I271">
            <v>737.46516000000247</v>
          </cell>
          <cell r="J271">
            <v>674.62286999999787</v>
          </cell>
          <cell r="K271">
            <v>962.50052999999934</v>
          </cell>
          <cell r="L271">
            <v>797.24958000000493</v>
          </cell>
          <cell r="M271">
            <v>238.88772000000358</v>
          </cell>
          <cell r="N271">
            <v>499.79819740161639</v>
          </cell>
          <cell r="O271">
            <v>583.45079000000442</v>
          </cell>
          <cell r="P271">
            <v>653.9381699999991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238.04673999999994</v>
          </cell>
          <cell r="F329">
            <v>-93.1401299999999</v>
          </cell>
          <cell r="G329">
            <v>-6.0079900000000279</v>
          </cell>
          <cell r="H329">
            <v>140.75105999999994</v>
          </cell>
          <cell r="I329">
            <v>157.42198999999982</v>
          </cell>
          <cell r="J329">
            <v>30.215939999999961</v>
          </cell>
          <cell r="K329">
            <v>197.28039000000032</v>
          </cell>
          <cell r="L329">
            <v>53.456239999999752</v>
          </cell>
          <cell r="M329">
            <v>-24.418660000000131</v>
          </cell>
          <cell r="N329">
            <v>424.53405000000004</v>
          </cell>
          <cell r="O329">
            <v>46.22886999999966</v>
          </cell>
          <cell r="P329">
            <v>55.407539999999585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-46.024851599999998</v>
          </cell>
          <cell r="F385">
            <v>-51.369957899999996</v>
          </cell>
          <cell r="G385">
            <v>-51.517783800000004</v>
          </cell>
          <cell r="H385">
            <v>-45.031213800000017</v>
          </cell>
          <cell r="I385">
            <v>-51.273579600000005</v>
          </cell>
          <cell r="J385">
            <v>-47.428056900000001</v>
          </cell>
          <cell r="K385">
            <v>-56.772192600000039</v>
          </cell>
          <cell r="L385">
            <v>-51.161821199999963</v>
          </cell>
          <cell r="M385">
            <v>-51.438296699999967</v>
          </cell>
          <cell r="N385">
            <v>-58.54137030000004</v>
          </cell>
          <cell r="O385">
            <v>-53.437918499999967</v>
          </cell>
          <cell r="P385">
            <v>-51.642635400000017</v>
          </cell>
        </row>
        <row r="386">
          <cell r="E386">
            <v>-55.4912226</v>
          </cell>
          <cell r="F386">
            <v>-66.067457399999995</v>
          </cell>
          <cell r="G386">
            <v>-53.176941900000017</v>
          </cell>
          <cell r="H386">
            <v>-52.186375799999951</v>
          </cell>
          <cell r="I386">
            <v>-46.192783500000019</v>
          </cell>
          <cell r="J386">
            <v>-55.123794900000007</v>
          </cell>
          <cell r="K386">
            <v>-52.557336899999996</v>
          </cell>
          <cell r="L386">
            <v>-63.717029099999991</v>
          </cell>
          <cell r="M386">
            <v>-66.564761399999952</v>
          </cell>
          <cell r="N386">
            <v>-54.244787400000007</v>
          </cell>
          <cell r="O386">
            <v>-51.432472800000028</v>
          </cell>
          <cell r="P386">
            <v>-70.746561899999961</v>
          </cell>
        </row>
        <row r="387">
          <cell r="E387">
            <v>-0.73820520000000001</v>
          </cell>
          <cell r="F387">
            <v>-0.67021469999999994</v>
          </cell>
          <cell r="G387">
            <v>-1.5720696000000001</v>
          </cell>
          <cell r="H387">
            <v>-10.561752899999998</v>
          </cell>
          <cell r="I387">
            <v>-11.628624599999998</v>
          </cell>
          <cell r="J387">
            <v>-0.16293780000000169</v>
          </cell>
          <cell r="K387">
            <v>-11.247207300000003</v>
          </cell>
          <cell r="L387">
            <v>-9.3999132000000003</v>
          </cell>
          <cell r="M387">
            <v>-9.4338305999999932</v>
          </cell>
          <cell r="N387">
            <v>-11.249010900000009</v>
          </cell>
          <cell r="O387">
            <v>-10.526898599999996</v>
          </cell>
          <cell r="P387">
            <v>-8.4539484000000016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-236.66008205839992</v>
          </cell>
          <cell r="F399">
            <v>-143.60508343999959</v>
          </cell>
          <cell r="G399">
            <v>27.942108849200071</v>
          </cell>
          <cell r="H399">
            <v>-416.94328585000068</v>
          </cell>
          <cell r="I399">
            <v>-286.02834707720086</v>
          </cell>
          <cell r="J399">
            <v>-219.17314342559919</v>
          </cell>
          <cell r="K399">
            <v>-378.27032268479996</v>
          </cell>
          <cell r="L399">
            <v>-264.41944856600173</v>
          </cell>
          <cell r="M399">
            <v>-31.679710353201287</v>
          </cell>
          <cell r="N399">
            <v>-291.30813668378835</v>
          </cell>
          <cell r="O399">
            <v>-187.19878271640147</v>
          </cell>
          <cell r="P399">
            <v>-210.57493340519954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48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49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50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28.525779999999997</v>
          </cell>
          <cell r="F271">
            <v>25.963560000000001</v>
          </cell>
          <cell r="G271">
            <v>77.149777</v>
          </cell>
          <cell r="H271">
            <v>25.93675799999999</v>
          </cell>
          <cell r="I271">
            <v>28.476578999999994</v>
          </cell>
          <cell r="J271">
            <v>23.355764999999991</v>
          </cell>
          <cell r="K271">
            <v>23.507524000000018</v>
          </cell>
          <cell r="L271">
            <v>24.637651000000012</v>
          </cell>
          <cell r="M271">
            <v>44.747873000000006</v>
          </cell>
          <cell r="N271">
            <v>99.378744000000012</v>
          </cell>
          <cell r="O271">
            <v>62.647298000000006</v>
          </cell>
          <cell r="P271">
            <v>81.363390999999979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140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500</v>
          </cell>
          <cell r="N329">
            <v>1.0499999999069587E-4</v>
          </cell>
          <cell r="O329">
            <v>50</v>
          </cell>
          <cell r="P329">
            <v>650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856.49232099999892</v>
          </cell>
          <cell r="F362">
            <v>1977.8148699999999</v>
          </cell>
          <cell r="G362">
            <v>795.43930500000113</v>
          </cell>
          <cell r="H362">
            <v>2896.2830799999997</v>
          </cell>
          <cell r="I362">
            <v>1416.0717770000001</v>
          </cell>
          <cell r="J362">
            <v>1634.2544120000007</v>
          </cell>
          <cell r="K362">
            <v>2521.0333449999998</v>
          </cell>
          <cell r="L362">
            <v>2400.118641</v>
          </cell>
          <cell r="M362">
            <v>1819.8810860000003</v>
          </cell>
          <cell r="N362">
            <v>1743.4523559999998</v>
          </cell>
          <cell r="O362">
            <v>2518.5870150000001</v>
          </cell>
          <cell r="P362">
            <v>2386.1258110000008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-2316.3555699999988</v>
          </cell>
          <cell r="F370">
            <v>1888.16245</v>
          </cell>
          <cell r="G370">
            <v>-376.05772000000121</v>
          </cell>
          <cell r="H370">
            <v>-632.37980999999991</v>
          </cell>
          <cell r="I370">
            <v>-1222.7997700000001</v>
          </cell>
          <cell r="J370">
            <v>2121.8248499999995</v>
          </cell>
          <cell r="K370">
            <v>-73.93844</v>
          </cell>
          <cell r="L370">
            <v>-346.21935999999999</v>
          </cell>
          <cell r="M370">
            <v>96.83278</v>
          </cell>
          <cell r="N370">
            <v>-42.04627</v>
          </cell>
          <cell r="O370">
            <v>-13.005270000000001</v>
          </cell>
          <cell r="P370">
            <v>-104.98557000000001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-629.60954000000015</v>
          </cell>
          <cell r="F374">
            <v>-766.72060999999997</v>
          </cell>
          <cell r="G374">
            <v>-777.65627000000006</v>
          </cell>
          <cell r="H374">
            <v>-737.31452999999999</v>
          </cell>
          <cell r="I374">
            <v>-730.29895999999985</v>
          </cell>
          <cell r="J374">
            <v>-716.1849400000001</v>
          </cell>
          <cell r="K374">
            <v>-871.05779999999993</v>
          </cell>
          <cell r="L374">
            <v>-740.14566999999988</v>
          </cell>
          <cell r="M374">
            <v>-389.89678000000004</v>
          </cell>
          <cell r="N374">
            <v>-764.93504000000007</v>
          </cell>
          <cell r="O374">
            <v>-1464.0683300000001</v>
          </cell>
          <cell r="P374">
            <v>-1111.11158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15.581860000000001</v>
          </cell>
          <cell r="F381">
            <v>110.09302</v>
          </cell>
          <cell r="G381">
            <v>47.092349999999996</v>
          </cell>
          <cell r="H381">
            <v>66.675730000000001</v>
          </cell>
          <cell r="I381">
            <v>66.180600000000013</v>
          </cell>
          <cell r="J381">
            <v>90.174309999999991</v>
          </cell>
          <cell r="K381">
            <v>75.554050000000004</v>
          </cell>
          <cell r="L381">
            <v>83.144279999999995</v>
          </cell>
          <cell r="M381">
            <v>62.875279999999997</v>
          </cell>
          <cell r="N381">
            <v>52.577359999999999</v>
          </cell>
          <cell r="O381">
            <v>120.18059</v>
          </cell>
          <cell r="P381">
            <v>56.120850000000004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-923.7622756905489</v>
          </cell>
          <cell r="F385">
            <v>-872.43662627114588</v>
          </cell>
          <cell r="G385">
            <v>-836.91553216002819</v>
          </cell>
          <cell r="H385">
            <v>-864.06726457449827</v>
          </cell>
          <cell r="I385">
            <v>-898.50315069726457</v>
          </cell>
          <cell r="J385">
            <v>-859.3990657960137</v>
          </cell>
          <cell r="K385">
            <v>-907.95298421996574</v>
          </cell>
          <cell r="L385">
            <v>-873.59427209881665</v>
          </cell>
          <cell r="M385">
            <v>-920.36886762518384</v>
          </cell>
          <cell r="N385">
            <v>-1002.8356977160274</v>
          </cell>
          <cell r="O385">
            <v>-974.74404737515556</v>
          </cell>
          <cell r="P385">
            <v>-1404.104541362572</v>
          </cell>
        </row>
        <row r="386">
          <cell r="E386">
            <v>-451.17856202481948</v>
          </cell>
          <cell r="F386">
            <v>-645.70044541339291</v>
          </cell>
          <cell r="G386">
            <v>-436.46252149170334</v>
          </cell>
          <cell r="H386">
            <v>-523.48920961357624</v>
          </cell>
          <cell r="I386">
            <v>-423.15301063326439</v>
          </cell>
          <cell r="J386">
            <v>-518.34582251254176</v>
          </cell>
          <cell r="K386">
            <v>-437.07678540623215</v>
          </cell>
          <cell r="L386">
            <v>-555.56767145615481</v>
          </cell>
          <cell r="M386">
            <v>-566.67596264224096</v>
          </cell>
          <cell r="N386">
            <v>-729.89580294219388</v>
          </cell>
          <cell r="O386">
            <v>-409.27854936700544</v>
          </cell>
          <cell r="P386">
            <v>-531.78815698462643</v>
          </cell>
        </row>
        <row r="387">
          <cell r="E387">
            <v>-6.8499105753582032</v>
          </cell>
          <cell r="F387">
            <v>-7.2271336849556711</v>
          </cell>
          <cell r="G387">
            <v>-13.877392404505777</v>
          </cell>
          <cell r="H387">
            <v>-62.900012959842947</v>
          </cell>
          <cell r="I387">
            <v>-67.208800321418067</v>
          </cell>
          <cell r="J387">
            <v>-5.0400912823228765</v>
          </cell>
          <cell r="K387">
            <v>-62.969114576508275</v>
          </cell>
          <cell r="L387">
            <v>-54.812149490811336</v>
          </cell>
          <cell r="M387">
            <v>-54.176575177225395</v>
          </cell>
          <cell r="N387">
            <v>-64.799727614663652</v>
          </cell>
          <cell r="O387">
            <v>-60.286417359186174</v>
          </cell>
          <cell r="P387">
            <v>-45.516911661782125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1249.1264921778245</v>
          </cell>
          <cell r="F399">
            <v>-624.91154099550397</v>
          </cell>
          <cell r="G399">
            <v>553.9972215494704</v>
          </cell>
          <cell r="H399">
            <v>-2.8737650731578874</v>
          </cell>
          <cell r="I399">
            <v>690.01050124630876</v>
          </cell>
          <cell r="J399">
            <v>-607.22988841392021</v>
          </cell>
          <cell r="K399">
            <v>-69.715686190215038</v>
          </cell>
          <cell r="L399">
            <v>238.20932875866492</v>
          </cell>
          <cell r="M399">
            <v>-224.89977454814755</v>
          </cell>
          <cell r="N399">
            <v>246.11646671633025</v>
          </cell>
          <cell r="O399">
            <v>110.5489305078905</v>
          </cell>
          <cell r="P399">
            <v>32.532828433268747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51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65.195160000000001</v>
          </cell>
          <cell r="F374">
            <v>135.97503</v>
          </cell>
          <cell r="G374">
            <v>61.531450000000007</v>
          </cell>
          <cell r="H374">
            <v>46.814819999999997</v>
          </cell>
          <cell r="I374">
            <v>4.4250599999999736</v>
          </cell>
          <cell r="J374">
            <v>54.507830000000013</v>
          </cell>
          <cell r="K374">
            <v>117.48005000000001</v>
          </cell>
          <cell r="L374">
            <v>11.508080000000007</v>
          </cell>
          <cell r="M374">
            <v>116.46628000000004</v>
          </cell>
          <cell r="N374">
            <v>-29.943509999999947</v>
          </cell>
          <cell r="O374">
            <v>167.93475000000001</v>
          </cell>
          <cell r="P374">
            <v>20.444989999999962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-40.9109792</v>
          </cell>
          <cell r="F385">
            <v>-45.662184800000006</v>
          </cell>
          <cell r="G385">
            <v>-45.793585599999986</v>
          </cell>
          <cell r="H385">
            <v>-40.027745600000031</v>
          </cell>
          <cell r="I385">
            <v>-45.576515199999989</v>
          </cell>
          <cell r="J385">
            <v>-42.15827280000002</v>
          </cell>
          <cell r="K385">
            <v>-50.46417120000001</v>
          </cell>
          <cell r="L385">
            <v>-45.477174400000024</v>
          </cell>
          <cell r="M385">
            <v>-45.722930399999939</v>
          </cell>
          <cell r="N385">
            <v>-52.03677360000006</v>
          </cell>
          <cell r="O385">
            <v>-47.50037199999997</v>
          </cell>
          <cell r="P385">
            <v>-45.904564800000003</v>
          </cell>
        </row>
        <row r="386">
          <cell r="E386">
            <v>-49.325531200000007</v>
          </cell>
          <cell r="F386">
            <v>-58.726628799999993</v>
          </cell>
          <cell r="G386">
            <v>-47.268392800000001</v>
          </cell>
          <cell r="H386">
            <v>-46.387889599999994</v>
          </cell>
          <cell r="I386">
            <v>-41.060251999999991</v>
          </cell>
          <cell r="J386">
            <v>-48.998928800000016</v>
          </cell>
          <cell r="K386">
            <v>-46.71763279999999</v>
          </cell>
          <cell r="L386">
            <v>-56.637359199999992</v>
          </cell>
          <cell r="M386">
            <v>-59.168676799999957</v>
          </cell>
          <cell r="N386">
            <v>-48.217588800000044</v>
          </cell>
          <cell r="O386">
            <v>-45.71775359999998</v>
          </cell>
          <cell r="P386">
            <v>-62.885832800000003</v>
          </cell>
        </row>
        <row r="387">
          <cell r="E387">
            <v>-0.65618240000000005</v>
          </cell>
          <cell r="F387">
            <v>-0.5957463999999999</v>
          </cell>
          <cell r="G387">
            <v>-1.3973952000000005</v>
          </cell>
          <cell r="H387">
            <v>-9.3882247999999997</v>
          </cell>
          <cell r="I387">
            <v>-10.336555199999999</v>
          </cell>
          <cell r="J387">
            <v>-0.14483360000000189</v>
          </cell>
          <cell r="K387">
            <v>-9.9975176000000019</v>
          </cell>
          <cell r="L387">
            <v>-8.3554784000000026</v>
          </cell>
          <cell r="M387">
            <v>-8.3856271999999947</v>
          </cell>
          <cell r="N387">
            <v>-9.9991208</v>
          </cell>
          <cell r="O387">
            <v>-9.3572432000000063</v>
          </cell>
          <cell r="P387">
            <v>-7.514620800000003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9.3539019392000018</v>
          </cell>
          <cell r="F399">
            <v>-11.280531080000001</v>
          </cell>
          <cell r="G399">
            <v>11.985764190399992</v>
          </cell>
          <cell r="H399">
            <v>17.832010560000011</v>
          </cell>
          <cell r="I399">
            <v>33.687567513600001</v>
          </cell>
          <cell r="J399">
            <v>13.393090692800008</v>
          </cell>
          <cell r="K399">
            <v>-3.7494651376000014</v>
          </cell>
          <cell r="L399">
            <v>36.022143248000006</v>
          </cell>
          <cell r="M399">
            <v>-1.1608125984000544</v>
          </cell>
          <cell r="N399">
            <v>51.031705524800024</v>
          </cell>
          <cell r="O399">
            <v>-23.790814756800021</v>
          </cell>
          <cell r="P399">
            <v>34.893050337600016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52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53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54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55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562.5</v>
          </cell>
          <cell r="F329">
            <v>0</v>
          </cell>
          <cell r="G329">
            <v>168.75</v>
          </cell>
          <cell r="H329">
            <v>2.2322615000000496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-13.825087213503149</v>
          </cell>
          <cell r="F385">
            <v>-15.480278415435237</v>
          </cell>
          <cell r="G385">
            <v>-14.878132956342274</v>
          </cell>
          <cell r="H385">
            <v>-14.650691110157148</v>
          </cell>
          <cell r="I385">
            <v>-14.017954189021346</v>
          </cell>
          <cell r="J385">
            <v>-10.626906115052165</v>
          </cell>
          <cell r="K385">
            <v>-11.867293158720187</v>
          </cell>
          <cell r="L385">
            <v>-11.376933192388918</v>
          </cell>
          <cell r="M385">
            <v>-12.549668297730349</v>
          </cell>
          <cell r="N385">
            <v>-11.57244664800254</v>
          </cell>
          <cell r="O385">
            <v>-14.106122437062197</v>
          </cell>
          <cell r="P385">
            <v>-2.6008329604948699</v>
          </cell>
        </row>
        <row r="386">
          <cell r="E386">
            <v>-10.139475640713549</v>
          </cell>
          <cell r="F386">
            <v>-12.358516818897197</v>
          </cell>
          <cell r="G386">
            <v>-13.424102405785018</v>
          </cell>
          <cell r="H386">
            <v>-14.723296059351206</v>
          </cell>
          <cell r="I386">
            <v>-7.800535553797765</v>
          </cell>
          <cell r="J386">
            <v>-16.279378742347035</v>
          </cell>
          <cell r="K386">
            <v>-13.506888712669181</v>
          </cell>
          <cell r="L386">
            <v>-12.750906965159785</v>
          </cell>
          <cell r="M386">
            <v>1.5052079170563815</v>
          </cell>
          <cell r="N386">
            <v>-7.8315685323676973</v>
          </cell>
          <cell r="O386">
            <v>-6.4496794643715276</v>
          </cell>
          <cell r="P386">
            <v>11.775662714331673</v>
          </cell>
        </row>
        <row r="387">
          <cell r="E387">
            <v>-0.67756661601140011</v>
          </cell>
          <cell r="F387">
            <v>-0.85640875616127621</v>
          </cell>
          <cell r="G387">
            <v>-1.2789547645208581</v>
          </cell>
          <cell r="H387">
            <v>-1.3521387750663667</v>
          </cell>
          <cell r="I387">
            <v>-0.99901783046784587</v>
          </cell>
          <cell r="J387">
            <v>-0.99109278411190083</v>
          </cell>
          <cell r="K387">
            <v>-0.47814774793263659</v>
          </cell>
          <cell r="L387">
            <v>-0.92261569978518132</v>
          </cell>
          <cell r="M387">
            <v>-0.72620930709951459</v>
          </cell>
          <cell r="N387">
            <v>-0.9146648645120603</v>
          </cell>
          <cell r="O387">
            <v>-0.77085055854417384</v>
          </cell>
          <cell r="P387">
            <v>7.6793516618758773E-2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-103.53026487283697</v>
          </cell>
          <cell r="F399">
            <v>10.445054252539711</v>
          </cell>
          <cell r="G399">
            <v>-22.982446793900074</v>
          </cell>
          <cell r="H399">
            <v>10.737857543825193</v>
          </cell>
          <cell r="I399">
            <v>8.3055727566764475</v>
          </cell>
          <cell r="J399">
            <v>10.154645461510043</v>
          </cell>
          <cell r="K399">
            <v>9.4102479814332085</v>
          </cell>
          <cell r="L399">
            <v>9.1183659320695227</v>
          </cell>
          <cell r="M399">
            <v>4.2845237663495652</v>
          </cell>
          <cell r="N399">
            <v>7.3959995363371576</v>
          </cell>
          <cell r="O399">
            <v>7.7629014954319473</v>
          </cell>
          <cell r="P399">
            <v>-3.3675908704458095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56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57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-726.94813999999997</v>
          </cell>
          <cell r="K370">
            <v>1244.5817299999999</v>
          </cell>
          <cell r="L370">
            <v>-1776.46639</v>
          </cell>
          <cell r="M370">
            <v>1252.7909999999999</v>
          </cell>
          <cell r="N370">
            <v>-1090.7504099999999</v>
          </cell>
          <cell r="O370">
            <v>489.97791000000001</v>
          </cell>
          <cell r="P370">
            <v>316.73372999999998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264.60912295999998</v>
          </cell>
          <cell r="K399">
            <v>-453.02774971999992</v>
          </cell>
          <cell r="L399">
            <v>646.63376596000001</v>
          </cell>
          <cell r="M399">
            <v>-456.01592399999998</v>
          </cell>
          <cell r="N399">
            <v>397.03314923999994</v>
          </cell>
          <cell r="O399">
            <v>-178.35195923999999</v>
          </cell>
          <cell r="P399">
            <v>-115.29107771999999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58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59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60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-726.94813999999997</v>
          </cell>
          <cell r="K370">
            <v>1244.5817299999999</v>
          </cell>
          <cell r="L370">
            <v>-1776.46639</v>
          </cell>
          <cell r="M370">
            <v>1252.7909999999999</v>
          </cell>
          <cell r="N370">
            <v>-1090.7504099999999</v>
          </cell>
          <cell r="O370">
            <v>489.97791000000001</v>
          </cell>
          <cell r="P370">
            <v>316.73372999999998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264.60912295999998</v>
          </cell>
          <cell r="K399">
            <v>-453.02774971999992</v>
          </cell>
          <cell r="L399">
            <v>646.63376596000001</v>
          </cell>
          <cell r="M399">
            <v>-456.01592399999998</v>
          </cell>
          <cell r="N399">
            <v>397.03314923999994</v>
          </cell>
          <cell r="O399">
            <v>-178.35195923999999</v>
          </cell>
          <cell r="P399">
            <v>-115.29107771999999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61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62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63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64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65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66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67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-17408.344599999997</v>
          </cell>
          <cell r="F271">
            <v>-3584.5142999999975</v>
          </cell>
          <cell r="G271">
            <v>-9906.7112100000086</v>
          </cell>
          <cell r="H271">
            <v>-5229.8628499999995</v>
          </cell>
          <cell r="I271">
            <v>-10104.268009999996</v>
          </cell>
          <cell r="J271">
            <v>-9746.9817099999964</v>
          </cell>
          <cell r="K271">
            <v>-6559.3584999999985</v>
          </cell>
          <cell r="L271">
            <v>-9533.9908600000035</v>
          </cell>
          <cell r="M271">
            <v>-8294.9827899999982</v>
          </cell>
          <cell r="N271">
            <v>-3595.4634200000005</v>
          </cell>
          <cell r="O271">
            <v>-4684.8126300000031</v>
          </cell>
          <cell r="P271">
            <v>-3486.4121800000048</v>
          </cell>
        </row>
        <row r="273">
          <cell r="E273">
            <v>0</v>
          </cell>
          <cell r="F273">
            <v>0</v>
          </cell>
          <cell r="G273">
            <v>7.1232199999999999</v>
          </cell>
          <cell r="H273">
            <v>-7.1232199999999999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0.83333000000000013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11.371659999999963</v>
          </cell>
          <cell r="M329">
            <v>0</v>
          </cell>
          <cell r="N329">
            <v>2.0943600000000089</v>
          </cell>
          <cell r="O329">
            <v>24.312869999999975</v>
          </cell>
          <cell r="P329">
            <v>0.36723000000000638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-152.41667000000001</v>
          </cell>
          <cell r="F345">
            <v>-149.93820000000002</v>
          </cell>
          <cell r="G345">
            <v>-5.1452900000000001</v>
          </cell>
          <cell r="H345">
            <v>-103.63889</v>
          </cell>
          <cell r="I345">
            <v>-130.8784</v>
          </cell>
          <cell r="J345">
            <v>-290.65785999999997</v>
          </cell>
          <cell r="K345">
            <v>-156.96361999999999</v>
          </cell>
          <cell r="L345">
            <v>-323.05216999999999</v>
          </cell>
          <cell r="M345">
            <v>-308.74056000000002</v>
          </cell>
          <cell r="N345">
            <v>-112.5852</v>
          </cell>
          <cell r="O345">
            <v>-296.27945</v>
          </cell>
          <cell r="P345">
            <v>-290.61048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18.478960000000001</v>
          </cell>
          <cell r="F362">
            <v>-262.89958000000001</v>
          </cell>
          <cell r="G362">
            <v>-2149.68019</v>
          </cell>
          <cell r="H362">
            <v>158.35724999999999</v>
          </cell>
          <cell r="I362">
            <v>1374.20705</v>
          </cell>
          <cell r="J362">
            <v>-530.32299999999998</v>
          </cell>
          <cell r="K362">
            <v>-1602.5817000000002</v>
          </cell>
          <cell r="L362">
            <v>5460.5236400000003</v>
          </cell>
          <cell r="M362">
            <v>29234.514899999998</v>
          </cell>
          <cell r="N362">
            <v>19965.8174</v>
          </cell>
          <cell r="O362">
            <v>5424.7498500000002</v>
          </cell>
          <cell r="P362">
            <v>923.60633000000007</v>
          </cell>
        </row>
        <row r="363">
          <cell r="E363">
            <v>34.820989999999995</v>
          </cell>
          <cell r="F363">
            <v>778.32429999999999</v>
          </cell>
          <cell r="G363">
            <v>21.223959999999998</v>
          </cell>
          <cell r="H363">
            <v>49.064999999999998</v>
          </cell>
          <cell r="I363">
            <v>-1341.80186</v>
          </cell>
          <cell r="J363">
            <v>-72.31</v>
          </cell>
          <cell r="K363">
            <v>772.55281000000002</v>
          </cell>
          <cell r="L363">
            <v>305.07153000000005</v>
          </cell>
          <cell r="M363">
            <v>169.01767000000001</v>
          </cell>
          <cell r="N363">
            <v>289.03899999999999</v>
          </cell>
          <cell r="O363">
            <v>3690.9194299999999</v>
          </cell>
          <cell r="P363">
            <v>116.45838000000001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14.15929</v>
          </cell>
          <cell r="F366">
            <v>812.79632000000004</v>
          </cell>
          <cell r="G366">
            <v>1116.8277599999999</v>
          </cell>
          <cell r="H366">
            <v>0</v>
          </cell>
          <cell r="I366">
            <v>7759.5997500000003</v>
          </cell>
          <cell r="J366">
            <v>1159.2937399999998</v>
          </cell>
          <cell r="K366">
            <v>53.716090000000001</v>
          </cell>
          <cell r="L366">
            <v>0</v>
          </cell>
          <cell r="M366">
            <v>77.469889999999992</v>
          </cell>
          <cell r="N366">
            <v>102.59990000000001</v>
          </cell>
          <cell r="O366">
            <v>0</v>
          </cell>
          <cell r="P366">
            <v>3866.5364199999999</v>
          </cell>
        </row>
        <row r="367">
          <cell r="E367">
            <v>0</v>
          </cell>
          <cell r="F367">
            <v>-0.30218</v>
          </cell>
          <cell r="G367">
            <v>-3634.83115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-8311.5483399999994</v>
          </cell>
          <cell r="N367">
            <v>-101444.43443000001</v>
          </cell>
          <cell r="O367">
            <v>0</v>
          </cell>
          <cell r="P367">
            <v>-13672.1325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-201.28718000000003</v>
          </cell>
          <cell r="F378">
            <v>-193.46024</v>
          </cell>
          <cell r="G378">
            <v>-180.77893000000003</v>
          </cell>
          <cell r="H378">
            <v>-164.12243000000001</v>
          </cell>
          <cell r="I378">
            <v>-168.78466999999998</v>
          </cell>
          <cell r="J378">
            <v>-163.29799</v>
          </cell>
          <cell r="K378">
            <v>-178.13828000000001</v>
          </cell>
          <cell r="L378">
            <v>-179.59280999999999</v>
          </cell>
          <cell r="M378">
            <v>-176.23685</v>
          </cell>
          <cell r="N378">
            <v>-161.45819</v>
          </cell>
          <cell r="O378">
            <v>-132.48344</v>
          </cell>
          <cell r="P378">
            <v>-79.295330000000007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-1423.2704900000003</v>
          </cell>
          <cell r="F385">
            <v>-1195.84428</v>
          </cell>
          <cell r="G385">
            <v>-1010.89171</v>
          </cell>
          <cell r="H385">
            <v>-1238.3837300000002</v>
          </cell>
          <cell r="I385">
            <v>-1749.6077499999999</v>
          </cell>
          <cell r="J385">
            <v>-1883.6322700000001</v>
          </cell>
          <cell r="K385">
            <v>-2153.0531599999999</v>
          </cell>
          <cell r="L385">
            <v>-1844.7958500000002</v>
          </cell>
          <cell r="M385">
            <v>-1963.0169799999999</v>
          </cell>
          <cell r="N385">
            <v>-4764.2523600000004</v>
          </cell>
          <cell r="O385">
            <v>-2253.1136900000001</v>
          </cell>
          <cell r="P385">
            <v>-2084.6265400000002</v>
          </cell>
        </row>
        <row r="386">
          <cell r="E386">
            <v>-2505.4569699999997</v>
          </cell>
          <cell r="F386">
            <v>-2704.1191699999999</v>
          </cell>
          <cell r="G386">
            <v>-2353.1399000000006</v>
          </cell>
          <cell r="H386">
            <v>-2132.2435699999996</v>
          </cell>
          <cell r="I386">
            <v>-2259.6248300000002</v>
          </cell>
          <cell r="J386">
            <v>-4703.1120100000007</v>
          </cell>
          <cell r="K386">
            <v>-2396.9353600000004</v>
          </cell>
          <cell r="L386">
            <v>-2352.70829</v>
          </cell>
          <cell r="M386">
            <v>-2816.4929099999995</v>
          </cell>
          <cell r="N386">
            <v>-5137.278949999999</v>
          </cell>
          <cell r="O386">
            <v>-3958.6396999999997</v>
          </cell>
          <cell r="P386">
            <v>-4032.8879400000005</v>
          </cell>
        </row>
        <row r="387">
          <cell r="E387">
            <v>-34.236090000000004</v>
          </cell>
          <cell r="F387">
            <v>-31.086300000000001</v>
          </cell>
          <cell r="G387">
            <v>-73.815929999999994</v>
          </cell>
          <cell r="H387">
            <v>-499.42005000000006</v>
          </cell>
          <cell r="I387">
            <v>-549.91265999999996</v>
          </cell>
          <cell r="J387">
            <v>-7.0178900000000004</v>
          </cell>
          <cell r="K387">
            <v>-531.81580000000008</v>
          </cell>
          <cell r="L387">
            <v>-444.34972000000005</v>
          </cell>
          <cell r="M387">
            <v>-445.97891999999996</v>
          </cell>
          <cell r="N387">
            <v>-531.90129999999988</v>
          </cell>
          <cell r="O387">
            <v>-497.73376999999999</v>
          </cell>
          <cell r="P387">
            <v>-399.55998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7571.0970199999992</v>
          </cell>
          <cell r="F399">
            <v>2277.9541899999999</v>
          </cell>
          <cell r="G399">
            <v>6350.1006600000001</v>
          </cell>
          <cell r="H399">
            <v>3199.847510000001</v>
          </cell>
          <cell r="I399">
            <v>2477.6665100000014</v>
          </cell>
          <cell r="J399">
            <v>5651.1590800000004</v>
          </cell>
          <cell r="K399">
            <v>4453.7317300000004</v>
          </cell>
          <cell r="L399">
            <v>3105.6381900000006</v>
          </cell>
          <cell r="M399">
            <v>-2517.0951100000002</v>
          </cell>
          <cell r="N399">
            <v>33375.760799999996</v>
          </cell>
          <cell r="O399">
            <v>903.12235999999984</v>
          </cell>
          <cell r="P399">
            <v>6657.5343999999986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68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69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70" refreshError="1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71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72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9022.3479199999729</v>
          </cell>
          <cell r="F271">
            <v>15496.137050000014</v>
          </cell>
          <cell r="G271">
            <v>13702.430529999947</v>
          </cell>
          <cell r="H271">
            <v>11158.630360000017</v>
          </cell>
          <cell r="I271">
            <v>13991.54752000004</v>
          </cell>
          <cell r="J271">
            <v>-2588.5705000000253</v>
          </cell>
          <cell r="K271">
            <v>10932.162230000005</v>
          </cell>
          <cell r="L271">
            <v>10944.663210000001</v>
          </cell>
          <cell r="M271">
            <v>6230.8231000000023</v>
          </cell>
          <cell r="N271">
            <v>2544.2322200000003</v>
          </cell>
          <cell r="O271">
            <v>-438.3326899999991</v>
          </cell>
          <cell r="P271">
            <v>-2863.2690599999846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-3157.8221800000001</v>
          </cell>
          <cell r="F399">
            <v>-5423.6484800000007</v>
          </cell>
          <cell r="G399">
            <v>-4795.8511399999998</v>
          </cell>
          <cell r="H399">
            <v>-3905.5210700000002</v>
          </cell>
          <cell r="I399">
            <v>-4897.0418599999994</v>
          </cell>
          <cell r="J399">
            <v>905.99945000000002</v>
          </cell>
          <cell r="K399">
            <v>-3826.2570300000002</v>
          </cell>
          <cell r="L399">
            <v>-3830.9761300000005</v>
          </cell>
          <cell r="M399">
            <v>-2185.5389399999999</v>
          </cell>
          <cell r="N399">
            <v>-2811.9162700000002</v>
          </cell>
          <cell r="O399">
            <v>173.41952000000001</v>
          </cell>
          <cell r="P399">
            <v>1002.1441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73" refreshError="1">
        <row r="16">
          <cell r="BP16">
            <v>-2479697.2058212054</v>
          </cell>
        </row>
        <row r="17">
          <cell r="BP17">
            <v>-10359.20268000057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208811.42518000028</v>
          </cell>
        </row>
        <row r="29">
          <cell r="BP29">
            <v>95029.321779998951</v>
          </cell>
        </row>
        <row r="30">
          <cell r="BP30">
            <v>443217.95659000252</v>
          </cell>
        </row>
        <row r="31">
          <cell r="BP31">
            <v>-86996.174790000034</v>
          </cell>
        </row>
        <row r="32">
          <cell r="BP32">
            <v>-6956.8685800001549</v>
          </cell>
        </row>
        <row r="33">
          <cell r="BP33">
            <v>9118.0654800000102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-2638262.0114700007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2367531.86459229</v>
          </cell>
        </row>
        <row r="46">
          <cell r="BP46">
            <v>2244815.2056399994</v>
          </cell>
        </row>
        <row r="47">
          <cell r="BP47">
            <v>88857.454530000032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3074759.3321500001</v>
          </cell>
        </row>
        <row r="52">
          <cell r="BP52">
            <v>0</v>
          </cell>
        </row>
        <row r="53">
          <cell r="BP53">
            <v>-11993.277529999992</v>
          </cell>
        </row>
        <row r="54">
          <cell r="BP54">
            <v>0</v>
          </cell>
        </row>
        <row r="55">
          <cell r="BP55">
            <v>-82846.77277000001</v>
          </cell>
        </row>
        <row r="56">
          <cell r="BP56">
            <v>9797.4524200000014</v>
          </cell>
        </row>
        <row r="57">
          <cell r="BP57">
            <v>93451.89996999994</v>
          </cell>
        </row>
        <row r="89">
          <cell r="BP89">
            <v>-206826.13521827004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26454.597082286651</v>
          </cell>
          <cell r="F271">
            <v>12752.265921126727</v>
          </cell>
          <cell r="G271">
            <v>16448.521099684993</v>
          </cell>
          <cell r="H271">
            <v>10475.81787155161</v>
          </cell>
          <cell r="I271">
            <v>46514.582287323254</v>
          </cell>
          <cell r="J271">
            <v>24070.512534508529</v>
          </cell>
          <cell r="K271">
            <v>11637.422137166703</v>
          </cell>
          <cell r="L271">
            <v>14590.159726935013</v>
          </cell>
          <cell r="M271">
            <v>14852.330155486572</v>
          </cell>
          <cell r="N271">
            <v>19764.329447815446</v>
          </cell>
          <cell r="O271">
            <v>21698.175127258401</v>
          </cell>
          <cell r="P271">
            <v>2251.6767277155536</v>
          </cell>
        </row>
        <row r="273">
          <cell r="E273">
            <v>1268.8561300000001</v>
          </cell>
          <cell r="F273">
            <v>551.08621999999991</v>
          </cell>
          <cell r="G273">
            <v>614.55417000000057</v>
          </cell>
          <cell r="H273">
            <v>720.30328999999915</v>
          </cell>
          <cell r="I273">
            <v>657.96243000000015</v>
          </cell>
          <cell r="J273">
            <v>616.0032600000003</v>
          </cell>
          <cell r="K273">
            <v>777.66252999999972</v>
          </cell>
          <cell r="L273">
            <v>716.53305000000023</v>
          </cell>
          <cell r="M273">
            <v>634.75796999999989</v>
          </cell>
          <cell r="N273">
            <v>720.74438000000009</v>
          </cell>
          <cell r="O273">
            <v>592.50795000000039</v>
          </cell>
          <cell r="P273">
            <v>756.38283999999999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1921.32773</v>
          </cell>
          <cell r="F276">
            <v>4268.8023799999992</v>
          </cell>
          <cell r="G276">
            <v>1919.2377300000005</v>
          </cell>
          <cell r="H276">
            <v>5782.6512100000009</v>
          </cell>
          <cell r="I276">
            <v>1919.2377399999984</v>
          </cell>
          <cell r="J276">
            <v>1935.814879999999</v>
          </cell>
          <cell r="K276">
            <v>5332.3760400000028</v>
          </cell>
          <cell r="L276">
            <v>1998.1433799999957</v>
          </cell>
          <cell r="M276">
            <v>1936.3864800000044</v>
          </cell>
          <cell r="N276">
            <v>6091.557859999999</v>
          </cell>
          <cell r="O276">
            <v>1936.3864900000019</v>
          </cell>
          <cell r="P276">
            <v>1942.7320399999917</v>
          </cell>
        </row>
        <row r="278">
          <cell r="E278">
            <v>0</v>
          </cell>
          <cell r="F278">
            <v>-1.3642420526593924E-12</v>
          </cell>
          <cell r="G278">
            <v>0</v>
          </cell>
          <cell r="H278">
            <v>-161.17173555999761</v>
          </cell>
          <cell r="I278">
            <v>161.17173549426681</v>
          </cell>
          <cell r="J278">
            <v>1.0288364259736227E-3</v>
          </cell>
          <cell r="K278">
            <v>-2.9929457999973295</v>
          </cell>
          <cell r="L278">
            <v>-42.921857160000002</v>
          </cell>
          <cell r="M278">
            <v>-771.9857511406891</v>
          </cell>
          <cell r="N278">
            <v>810.39686150451928</v>
          </cell>
          <cell r="O278">
            <v>955.17347239245657</v>
          </cell>
          <cell r="P278">
            <v>-869.20696781553079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-2142.3165200000008</v>
          </cell>
          <cell r="F302">
            <v>-1685.1926400000007</v>
          </cell>
          <cell r="G302">
            <v>-2274.1855999999998</v>
          </cell>
          <cell r="H302">
            <v>-2740.8934600000007</v>
          </cell>
          <cell r="I302">
            <v>-2077.3471300000001</v>
          </cell>
          <cell r="J302">
            <v>21457.210079999997</v>
          </cell>
          <cell r="K302">
            <v>-1953.1040699999994</v>
          </cell>
          <cell r="L302">
            <v>-1497.6999499999993</v>
          </cell>
          <cell r="M302">
            <v>-1284.4360299999998</v>
          </cell>
          <cell r="N302">
            <v>-1951.8333000000002</v>
          </cell>
          <cell r="O302">
            <v>-549.11579999999935</v>
          </cell>
          <cell r="P302">
            <v>21621.441089999997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2213.0048499999998</v>
          </cell>
          <cell r="F306">
            <v>1750.8818699999999</v>
          </cell>
          <cell r="G306">
            <v>2509.7302999999997</v>
          </cell>
          <cell r="H306">
            <v>2638.2420000000002</v>
          </cell>
          <cell r="I306">
            <v>2268.7936999999997</v>
          </cell>
          <cell r="J306">
            <v>2380.0792999999999</v>
          </cell>
          <cell r="K306">
            <v>2810.1526399999998</v>
          </cell>
          <cell r="L306">
            <v>2356.94</v>
          </cell>
          <cell r="M306">
            <v>2145.2479499999999</v>
          </cell>
          <cell r="N306">
            <v>2804.0971100000002</v>
          </cell>
          <cell r="O306">
            <v>1404.88984</v>
          </cell>
          <cell r="P306">
            <v>2268.18993</v>
          </cell>
        </row>
        <row r="307">
          <cell r="E307">
            <v>-1044.3859299999999</v>
          </cell>
          <cell r="F307">
            <v>-24.004269999999998</v>
          </cell>
          <cell r="G307">
            <v>-19.55667</v>
          </cell>
          <cell r="H307">
            <v>974.70290999999997</v>
          </cell>
          <cell r="I307">
            <v>-29.65465</v>
          </cell>
          <cell r="J307">
            <v>142.51020000000003</v>
          </cell>
          <cell r="K307">
            <v>-22.882909999999999</v>
          </cell>
          <cell r="L307">
            <v>-23.258119999999998</v>
          </cell>
          <cell r="M307">
            <v>-22.239510000000003</v>
          </cell>
          <cell r="N307">
            <v>-16.757860000000001</v>
          </cell>
          <cell r="O307">
            <v>-16.732100000000003</v>
          </cell>
          <cell r="P307">
            <v>-30.962119999999999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1.282E-2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1.63</v>
          </cell>
          <cell r="F319">
            <v>1.6419999999999999</v>
          </cell>
          <cell r="G319">
            <v>1.762</v>
          </cell>
          <cell r="H319">
            <v>1.694</v>
          </cell>
          <cell r="I319">
            <v>1.466</v>
          </cell>
          <cell r="J319">
            <v>1.224</v>
          </cell>
          <cell r="K319">
            <v>1.3580000000000001</v>
          </cell>
          <cell r="L319">
            <v>1.1399999999999999</v>
          </cell>
          <cell r="M319">
            <v>1.286</v>
          </cell>
          <cell r="N319">
            <v>1.0740000000000001</v>
          </cell>
          <cell r="O319">
            <v>0.9</v>
          </cell>
          <cell r="P319">
            <v>1.03</v>
          </cell>
        </row>
        <row r="320">
          <cell r="E320">
            <v>8.0528199999999579</v>
          </cell>
          <cell r="F320">
            <v>8.9397399999999969</v>
          </cell>
          <cell r="G320">
            <v>4.2347299999999874</v>
          </cell>
          <cell r="H320">
            <v>7.9327999999999754</v>
          </cell>
          <cell r="I320">
            <v>19.685749999999892</v>
          </cell>
          <cell r="J320">
            <v>-2.5857199999999487</v>
          </cell>
          <cell r="K320">
            <v>7.7263299999999857</v>
          </cell>
          <cell r="L320">
            <v>63.87528000000006</v>
          </cell>
          <cell r="M320">
            <v>-50.574170000000017</v>
          </cell>
          <cell r="N320">
            <v>7.0544199999999462</v>
          </cell>
          <cell r="O320">
            <v>122.17755000000002</v>
          </cell>
          <cell r="P320">
            <v>-116.79871999999997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534.95074</v>
          </cell>
          <cell r="F322">
            <v>670.91026000000011</v>
          </cell>
          <cell r="G322">
            <v>643.45351999999991</v>
          </cell>
          <cell r="H322">
            <v>784.85405000000003</v>
          </cell>
          <cell r="I322">
            <v>726.90152</v>
          </cell>
          <cell r="J322">
            <v>817.31031000000007</v>
          </cell>
          <cell r="K322">
            <v>874.13225000000011</v>
          </cell>
          <cell r="L322">
            <v>815.83078000000012</v>
          </cell>
          <cell r="M322">
            <v>838.20056000000011</v>
          </cell>
          <cell r="N322">
            <v>555.31620999999996</v>
          </cell>
          <cell r="O322">
            <v>1081.77016</v>
          </cell>
          <cell r="P322">
            <v>701.25414999999998</v>
          </cell>
        </row>
        <row r="323">
          <cell r="E323">
            <v>50.419119999999999</v>
          </cell>
          <cell r="F323">
            <v>46.069920000000003</v>
          </cell>
          <cell r="G323">
            <v>54.448719999999952</v>
          </cell>
          <cell r="H323">
            <v>64.009380000000021</v>
          </cell>
          <cell r="I323">
            <v>33.827689999999983</v>
          </cell>
          <cell r="J323">
            <v>42.034439999999996</v>
          </cell>
          <cell r="K323">
            <v>52.130210000000019</v>
          </cell>
          <cell r="L323">
            <v>43.32021000000001</v>
          </cell>
          <cell r="M323">
            <v>50.834320000000012</v>
          </cell>
          <cell r="N323">
            <v>62.012389999999996</v>
          </cell>
          <cell r="O323">
            <v>37.211739999999992</v>
          </cell>
          <cell r="P323">
            <v>39.98198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-618.03941772000053</v>
          </cell>
          <cell r="F329">
            <v>731.63856863999922</v>
          </cell>
          <cell r="G329">
            <v>1071.1069511199994</v>
          </cell>
          <cell r="H329">
            <v>143.8905062000008</v>
          </cell>
          <cell r="I329">
            <v>528.53164429999754</v>
          </cell>
          <cell r="J329">
            <v>10402.436569460002</v>
          </cell>
          <cell r="K329">
            <v>-7309.9943856399977</v>
          </cell>
          <cell r="L329">
            <v>1834.3274802199994</v>
          </cell>
          <cell r="M329">
            <v>1459.6686577400001</v>
          </cell>
          <cell r="N329">
            <v>-2866.096730380013</v>
          </cell>
          <cell r="O329">
            <v>2147.2655925400022</v>
          </cell>
          <cell r="P329">
            <v>672.78697876000422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-1.15707</v>
          </cell>
          <cell r="F333">
            <v>0.1</v>
          </cell>
          <cell r="G333">
            <v>-0.17581999999999998</v>
          </cell>
          <cell r="H333">
            <v>0.2155</v>
          </cell>
          <cell r="I333">
            <v>0.22921</v>
          </cell>
          <cell r="J333">
            <v>0.2266</v>
          </cell>
          <cell r="K333">
            <v>0.11105999999999999</v>
          </cell>
          <cell r="L333">
            <v>-6.0227000000000004</v>
          </cell>
          <cell r="M333">
            <v>1.5025500000000001</v>
          </cell>
          <cell r="N333">
            <v>9.1964199999999998</v>
          </cell>
          <cell r="O333">
            <v>3.7409999999999997</v>
          </cell>
          <cell r="P333">
            <v>32.268689999999999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0.18</v>
          </cell>
          <cell r="F342">
            <v>0.12</v>
          </cell>
          <cell r="G342">
            <v>1.4999999999999999E-2</v>
          </cell>
          <cell r="H342">
            <v>1.4999999999999999E-2</v>
          </cell>
          <cell r="I342">
            <v>1.4999999999999999E-2</v>
          </cell>
          <cell r="J342">
            <v>1.4999999999999999E-2</v>
          </cell>
          <cell r="K342">
            <v>0.14000000000000001</v>
          </cell>
          <cell r="L342">
            <v>9.5000000000000001E-2</v>
          </cell>
          <cell r="M342">
            <v>0.03</v>
          </cell>
          <cell r="N342">
            <v>-0.06</v>
          </cell>
          <cell r="O342">
            <v>7.4999999999999997E-2</v>
          </cell>
          <cell r="P342">
            <v>0.41499999999999998</v>
          </cell>
        </row>
        <row r="343">
          <cell r="E343">
            <v>119.26223</v>
          </cell>
          <cell r="F343">
            <v>-97.223849999999985</v>
          </cell>
          <cell r="G343">
            <v>102.93775999999998</v>
          </cell>
          <cell r="H343">
            <v>254.04732000000001</v>
          </cell>
          <cell r="I343">
            <v>15.727010000000002</v>
          </cell>
          <cell r="J343">
            <v>-93.770080000000007</v>
          </cell>
          <cell r="K343">
            <v>-259.96091000000001</v>
          </cell>
          <cell r="L343">
            <v>152.62493999999998</v>
          </cell>
          <cell r="M343">
            <v>-587.54560000000004</v>
          </cell>
          <cell r="N343">
            <v>-200.43309999999997</v>
          </cell>
          <cell r="O343">
            <v>-202.20960999999997</v>
          </cell>
          <cell r="P343">
            <v>-371.33565000000004</v>
          </cell>
        </row>
        <row r="345">
          <cell r="E345">
            <v>-145.71737999999999</v>
          </cell>
          <cell r="F345">
            <v>263.40504000000004</v>
          </cell>
          <cell r="G345">
            <v>679.18731000000002</v>
          </cell>
          <cell r="H345">
            <v>293.47863000000001</v>
          </cell>
          <cell r="I345">
            <v>391.35204999999996</v>
          </cell>
          <cell r="J345">
            <v>471.24662999999998</v>
          </cell>
          <cell r="K345">
            <v>307.35390000000001</v>
          </cell>
          <cell r="L345">
            <v>968.31819000000007</v>
          </cell>
          <cell r="M345">
            <v>483.21766000000002</v>
          </cell>
          <cell r="N345">
            <v>228.46972</v>
          </cell>
          <cell r="O345">
            <v>105.85496999999999</v>
          </cell>
          <cell r="P345">
            <v>144.81782000000001</v>
          </cell>
        </row>
        <row r="346">
          <cell r="E346">
            <v>0</v>
          </cell>
          <cell r="F346">
            <v>5.6843418860808015E-14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-878.70599000000004</v>
          </cell>
          <cell r="F350">
            <v>-593.51545999999985</v>
          </cell>
          <cell r="G350">
            <v>-164.45853</v>
          </cell>
          <cell r="H350">
            <v>-1152.24235</v>
          </cell>
          <cell r="I350">
            <v>-665.27407000000005</v>
          </cell>
          <cell r="J350">
            <v>-619.15064999999993</v>
          </cell>
          <cell r="K350">
            <v>-687.03115000000003</v>
          </cell>
          <cell r="L350">
            <v>-603.26913999999999</v>
          </cell>
          <cell r="M350">
            <v>-631.12654000000009</v>
          </cell>
          <cell r="N350">
            <v>-624.62959999999998</v>
          </cell>
          <cell r="O350">
            <v>-531.55118000000016</v>
          </cell>
          <cell r="P350">
            <v>-648.44490999999994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-5.5E-2</v>
          </cell>
          <cell r="F354">
            <v>0.17499999999999999</v>
          </cell>
          <cell r="G354">
            <v>0.11090000000000001</v>
          </cell>
          <cell r="H354">
            <v>1.4999999999999999E-2</v>
          </cell>
          <cell r="I354">
            <v>-0.19690000000000002</v>
          </cell>
          <cell r="J354">
            <v>-6.5329999999999999E-2</v>
          </cell>
          <cell r="K354">
            <v>-1.2400000000000007E-2</v>
          </cell>
          <cell r="L354">
            <v>-8.5600000000000009E-2</v>
          </cell>
          <cell r="M354">
            <v>-1.40344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4213.7168900000015</v>
          </cell>
          <cell r="F355">
            <v>2375.829490000001</v>
          </cell>
          <cell r="G355">
            <v>-414.9968800000006</v>
          </cell>
          <cell r="H355">
            <v>1311.35185</v>
          </cell>
          <cell r="I355">
            <v>2140.5482700000002</v>
          </cell>
          <cell r="J355">
            <v>1566.269849999999</v>
          </cell>
          <cell r="K355">
            <v>1598.742850000001</v>
          </cell>
          <cell r="L355">
            <v>-5869.30494</v>
          </cell>
          <cell r="M355">
            <v>-589.19766000000061</v>
          </cell>
          <cell r="N355">
            <v>1100.7344900000007</v>
          </cell>
          <cell r="O355">
            <v>-18.375549999999823</v>
          </cell>
          <cell r="P355">
            <v>663.3518700000003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-7074.2431123066372</v>
          </cell>
          <cell r="F359">
            <v>-3771.0205915466809</v>
          </cell>
          <cell r="G359">
            <v>-3193.607168466674</v>
          </cell>
          <cell r="H359">
            <v>-2835.3163532866497</v>
          </cell>
          <cell r="I359">
            <v>-3875.5063672066585</v>
          </cell>
          <cell r="J359">
            <v>-12551.762318006666</v>
          </cell>
          <cell r="K359">
            <v>214.3331465933386</v>
          </cell>
          <cell r="L359">
            <v>2384.7955421033398</v>
          </cell>
          <cell r="M359">
            <v>-2659.3135288666736</v>
          </cell>
          <cell r="N359">
            <v>281.77536758334691</v>
          </cell>
          <cell r="O359">
            <v>-3216.5918977016759</v>
          </cell>
          <cell r="P359">
            <v>-21445.850947186638</v>
          </cell>
        </row>
        <row r="362">
          <cell r="E362">
            <v>2676.2338155198931</v>
          </cell>
          <cell r="F362">
            <v>821.4468852000507</v>
          </cell>
          <cell r="G362">
            <v>28588.876592959918</v>
          </cell>
          <cell r="H362">
            <v>-21765.098817519927</v>
          </cell>
          <cell r="I362">
            <v>3079.6013451597692</v>
          </cell>
          <cell r="J362">
            <v>5575.9589878000397</v>
          </cell>
          <cell r="K362">
            <v>-1312.169002399919</v>
          </cell>
          <cell r="L362">
            <v>4572.9336536900064</v>
          </cell>
          <cell r="M362">
            <v>7631.3698981004763</v>
          </cell>
          <cell r="N362">
            <v>104042.99159701006</v>
          </cell>
          <cell r="O362">
            <v>-1759.8927655194439</v>
          </cell>
          <cell r="P362">
            <v>-9429.0768890705804</v>
          </cell>
        </row>
        <row r="363">
          <cell r="E363">
            <v>-1173.7617299999999</v>
          </cell>
          <cell r="F363">
            <v>-3003.77133</v>
          </cell>
          <cell r="G363">
            <v>1687.2101899999993</v>
          </cell>
          <cell r="H363">
            <v>-1944.7697899999998</v>
          </cell>
          <cell r="I363">
            <v>-3636.8451399999994</v>
          </cell>
          <cell r="J363">
            <v>-2154.7679000000003</v>
          </cell>
          <cell r="K363">
            <v>-1842.4246700000001</v>
          </cell>
          <cell r="L363">
            <v>-2327.9459900000002</v>
          </cell>
          <cell r="M363">
            <v>-5758.9996300000003</v>
          </cell>
          <cell r="N363">
            <v>-1177.2351200000001</v>
          </cell>
          <cell r="O363">
            <v>-1637.2533699999999</v>
          </cell>
          <cell r="P363">
            <v>-5311.2973999999995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2450554.14353</v>
          </cell>
          <cell r="F366">
            <v>1625.37264</v>
          </cell>
          <cell r="G366">
            <v>-23569.799289999999</v>
          </cell>
          <cell r="H366">
            <v>23.79796</v>
          </cell>
          <cell r="I366">
            <v>444.70748798</v>
          </cell>
          <cell r="J366">
            <v>23.76052</v>
          </cell>
          <cell r="K366">
            <v>24.0243</v>
          </cell>
          <cell r="L366">
            <v>24.075430000000001</v>
          </cell>
          <cell r="M366">
            <v>23.477509999999999</v>
          </cell>
          <cell r="N366">
            <v>24.963909999999998</v>
          </cell>
          <cell r="O366">
            <v>24.94087</v>
          </cell>
          <cell r="P366">
            <v>24.367849999999997</v>
          </cell>
        </row>
        <row r="367">
          <cell r="E367">
            <v>-2452090.5531493798</v>
          </cell>
          <cell r="F367">
            <v>-2604.0291893454346</v>
          </cell>
          <cell r="G367">
            <v>-1690.7176139853175</v>
          </cell>
          <cell r="H367">
            <v>23107.809557191613</v>
          </cell>
          <cell r="I367">
            <v>-804.53427649612365</v>
          </cell>
          <cell r="J367">
            <v>626.29763014902778</v>
          </cell>
          <cell r="K367">
            <v>1169.4915096061309</v>
          </cell>
          <cell r="L367">
            <v>-451.4858629017765</v>
          </cell>
          <cell r="M367">
            <v>-2073.9982746034848</v>
          </cell>
          <cell r="N367">
            <v>-70370.971295652591</v>
          </cell>
          <cell r="O367">
            <v>-625.55398883389159</v>
          </cell>
          <cell r="P367">
            <v>1654.3823104164512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-37.865200000000002</v>
          </cell>
          <cell r="F369">
            <v>8.4643399999999929</v>
          </cell>
          <cell r="G369">
            <v>-93.976089999999985</v>
          </cell>
          <cell r="H369">
            <v>-273.41163</v>
          </cell>
          <cell r="I369">
            <v>65.603790000000004</v>
          </cell>
          <cell r="J369">
            <v>76.857110000000006</v>
          </cell>
          <cell r="K369">
            <v>260.34177</v>
          </cell>
          <cell r="L369">
            <v>-151.63605999999999</v>
          </cell>
          <cell r="M369">
            <v>589.43299000000002</v>
          </cell>
          <cell r="N369">
            <v>201.35641038999998</v>
          </cell>
          <cell r="O369">
            <v>202.68461694999999</v>
          </cell>
          <cell r="P369">
            <v>371.78613841000004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-141.74999500000021</v>
          </cell>
          <cell r="F374">
            <v>117.08961000000016</v>
          </cell>
          <cell r="G374">
            <v>-453.99014999999963</v>
          </cell>
          <cell r="H374">
            <v>-202.84944304999954</v>
          </cell>
          <cell r="I374">
            <v>-60.638500000001017</v>
          </cell>
          <cell r="J374">
            <v>-635.13353000000109</v>
          </cell>
          <cell r="K374">
            <v>-824.98403195000287</v>
          </cell>
          <cell r="L374">
            <v>-436.03399499999898</v>
          </cell>
          <cell r="M374">
            <v>-1204.8164999999992</v>
          </cell>
          <cell r="N374">
            <v>4012.7656499999998</v>
          </cell>
          <cell r="O374">
            <v>590.53443899000069</v>
          </cell>
          <cell r="P374">
            <v>103.44207249999906</v>
          </cell>
        </row>
        <row r="375">
          <cell r="E375">
            <v>167.12674575999972</v>
          </cell>
          <cell r="F375">
            <v>94.367999999999995</v>
          </cell>
          <cell r="G375">
            <v>-619.47817575999943</v>
          </cell>
          <cell r="H375">
            <v>138.30600000000004</v>
          </cell>
          <cell r="I375">
            <v>979.93906361999905</v>
          </cell>
          <cell r="J375">
            <v>342.52684638000028</v>
          </cell>
          <cell r="K375">
            <v>303.54299999999989</v>
          </cell>
          <cell r="L375">
            <v>309.90600000000018</v>
          </cell>
          <cell r="M375">
            <v>-53752.096695209999</v>
          </cell>
          <cell r="N375">
            <v>54052.314408970007</v>
          </cell>
          <cell r="O375">
            <v>310.50327341999855</v>
          </cell>
          <cell r="P375">
            <v>595.8422404999983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-5339.9404500000001</v>
          </cell>
          <cell r="F378">
            <v>-5132.3016500000003</v>
          </cell>
          <cell r="G378">
            <v>-4795.8845099999999</v>
          </cell>
          <cell r="H378">
            <v>-5046.4897599999977</v>
          </cell>
          <cell r="I378">
            <v>-5198.8624200000004</v>
          </cell>
          <cell r="J378">
            <v>-4996.494200000001</v>
          </cell>
          <cell r="K378">
            <v>-5367.7303499999944</v>
          </cell>
          <cell r="L378">
            <v>-5411.5604000000012</v>
          </cell>
          <cell r="M378">
            <v>-5304.4348799999998</v>
          </cell>
          <cell r="N378">
            <v>-5482.80944</v>
          </cell>
          <cell r="O378">
            <v>-4498.8825800000004</v>
          </cell>
          <cell r="P378">
            <v>-2707.6252600000025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-75.907484685241599</v>
          </cell>
          <cell r="H381">
            <v>-27.94725998648444</v>
          </cell>
          <cell r="I381">
            <v>41.722031857067996</v>
          </cell>
          <cell r="J381">
            <v>8.0380266577719794E-3</v>
          </cell>
          <cell r="K381">
            <v>0</v>
          </cell>
          <cell r="L381">
            <v>-5.2870613328082072E-4</v>
          </cell>
          <cell r="M381">
            <v>0.40519549413355094</v>
          </cell>
          <cell r="N381">
            <v>1.4187399594599768</v>
          </cell>
          <cell r="O381">
            <v>-0.45708874694162205</v>
          </cell>
          <cell r="P381">
            <v>0.43208587483567129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-7749.6316199999992</v>
          </cell>
          <cell r="F383">
            <v>4526.5552047999627</v>
          </cell>
          <cell r="G383">
            <v>3612.6457260800025</v>
          </cell>
          <cell r="H383">
            <v>4132.2306403599969</v>
          </cell>
          <cell r="I383">
            <v>430.01568520003957</v>
          </cell>
          <cell r="J383">
            <v>6959.360164199994</v>
          </cell>
          <cell r="K383">
            <v>4939.6721755399922</v>
          </cell>
          <cell r="L383">
            <v>4797.497171670002</v>
          </cell>
          <cell r="M383">
            <v>1366.2595560400277</v>
          </cell>
          <cell r="N383">
            <v>2597.5204683920847</v>
          </cell>
          <cell r="O383">
            <v>2374.5201826300176</v>
          </cell>
          <cell r="P383">
            <v>8654.5914164099777</v>
          </cell>
        </row>
        <row r="385">
          <cell r="E385">
            <v>-7404.1597778362629</v>
          </cell>
          <cell r="F385">
            <v>-6348.3759013563795</v>
          </cell>
          <cell r="G385">
            <v>-7423.6497414631995</v>
          </cell>
          <cell r="H385">
            <v>-8515.4426916996636</v>
          </cell>
          <cell r="I385">
            <v>-7397.925709041604</v>
          </cell>
          <cell r="J385">
            <v>-8873.8122300639643</v>
          </cell>
          <cell r="K385">
            <v>-9550.4842490467545</v>
          </cell>
          <cell r="L385">
            <v>-8435.2476908139834</v>
          </cell>
          <cell r="M385">
            <v>-7940.0406573241007</v>
          </cell>
          <cell r="N385">
            <v>-8235.7865976329904</v>
          </cell>
          <cell r="O385">
            <v>-7392.8111185042389</v>
          </cell>
          <cell r="P385">
            <v>-7539.5593055785139</v>
          </cell>
        </row>
        <row r="386">
          <cell r="E386">
            <v>20674.830200423799</v>
          </cell>
          <cell r="F386">
            <v>24720.739237321653</v>
          </cell>
          <cell r="G386">
            <v>23409.549534945148</v>
          </cell>
          <cell r="H386">
            <v>11489.77047862682</v>
          </cell>
          <cell r="I386">
            <v>23353.221730318146</v>
          </cell>
          <cell r="J386">
            <v>22698.531180763748</v>
          </cell>
          <cell r="K386">
            <v>25257.46495188534</v>
          </cell>
          <cell r="L386">
            <v>20837.614180646066</v>
          </cell>
          <cell r="M386">
            <v>47723.909737248083</v>
          </cell>
          <cell r="N386">
            <v>25758.722047907722</v>
          </cell>
          <cell r="O386">
            <v>9282.72928950389</v>
          </cell>
          <cell r="P386">
            <v>31090.713251378784</v>
          </cell>
        </row>
        <row r="387">
          <cell r="E387">
            <v>-16146.921132823309</v>
          </cell>
          <cell r="F387">
            <v>-18868.414858623884</v>
          </cell>
          <cell r="G387">
            <v>-19319.733782128966</v>
          </cell>
          <cell r="H387">
            <v>-8008.5985249482728</v>
          </cell>
          <cell r="I387">
            <v>-6581.5992907445961</v>
          </cell>
          <cell r="J387">
            <v>-7597.4740589690018</v>
          </cell>
          <cell r="K387">
            <v>-7913.3348578741661</v>
          </cell>
          <cell r="L387">
            <v>-7490.3358886270753</v>
          </cell>
          <cell r="M387">
            <v>-8519.7415635062625</v>
          </cell>
          <cell r="N387">
            <v>-10380.786801291488</v>
          </cell>
          <cell r="O387">
            <v>-7977.5809289214449</v>
          </cell>
          <cell r="P387">
            <v>995.65623510730711</v>
          </cell>
        </row>
        <row r="389">
          <cell r="E389">
            <v>11172.447048480004</v>
          </cell>
          <cell r="F389">
            <v>-4741.4832210400036</v>
          </cell>
          <cell r="G389">
            <v>-16672.913465360012</v>
          </cell>
          <cell r="H389">
            <v>51955.612818760012</v>
          </cell>
          <cell r="I389">
            <v>-7550.783364400012</v>
          </cell>
          <cell r="J389">
            <v>-9671.813619200002</v>
          </cell>
          <cell r="K389">
            <v>-33309.747156340003</v>
          </cell>
          <cell r="L389">
            <v>35885.465594919995</v>
          </cell>
          <cell r="M389">
            <v>-44086.468877100022</v>
          </cell>
          <cell r="N389">
            <v>-5223.3610278999677</v>
          </cell>
          <cell r="O389">
            <v>-8422.1042194000001</v>
          </cell>
          <cell r="P389">
            <v>15421.139578059912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-18118.640326240002</v>
          </cell>
          <cell r="F391">
            <v>29383.389083039998</v>
          </cell>
          <cell r="G391">
            <v>16773.927409119999</v>
          </cell>
          <cell r="H391">
            <v>-68421.899610880006</v>
          </cell>
          <cell r="I391">
            <v>17036.170384780013</v>
          </cell>
          <cell r="J391">
            <v>11553.044360820008</v>
          </cell>
          <cell r="K391">
            <v>8590.9843463399957</v>
          </cell>
          <cell r="L391">
            <v>-18967.542450939996</v>
          </cell>
          <cell r="M391">
            <v>74623.671574540029</v>
          </cell>
          <cell r="N391">
            <v>-22316.732151070042</v>
          </cell>
          <cell r="O391">
            <v>8468.8892500000002</v>
          </cell>
          <cell r="P391">
            <v>-24056.518792059898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-246.85024788000001</v>
          </cell>
          <cell r="M392">
            <v>246.85024788000001</v>
          </cell>
          <cell r="N392">
            <v>0.870671999999999</v>
          </cell>
          <cell r="O392">
            <v>-0.78047200000000316</v>
          </cell>
          <cell r="P392">
            <v>0</v>
          </cell>
        </row>
        <row r="394">
          <cell r="E394">
            <v>-1174.22372</v>
          </cell>
          <cell r="F394">
            <v>1173.4247272000518</v>
          </cell>
          <cell r="G394">
            <v>-3600.0912644400805</v>
          </cell>
          <cell r="H394">
            <v>-1135.1425699999998</v>
          </cell>
          <cell r="I394">
            <v>-1186.7614799999999</v>
          </cell>
          <cell r="J394">
            <v>-1322.6623490400048</v>
          </cell>
          <cell r="K394">
            <v>-1032.4237992800001</v>
          </cell>
          <cell r="L394">
            <v>-1322.5301053000003</v>
          </cell>
          <cell r="M394">
            <v>-1043.1387286499998</v>
          </cell>
          <cell r="N394">
            <v>-1205.5610810499807</v>
          </cell>
          <cell r="O394">
            <v>-1219.4143530500016</v>
          </cell>
          <cell r="P394">
            <v>-1408.2047721300162</v>
          </cell>
        </row>
        <row r="396">
          <cell r="E396">
            <v>330.57466112008888</v>
          </cell>
          <cell r="F396">
            <v>-5818.8004741599998</v>
          </cell>
          <cell r="G396">
            <v>19245.785802000006</v>
          </cell>
          <cell r="H396">
            <v>-19217.6182400002</v>
          </cell>
          <cell r="I396">
            <v>6912.3914649807093</v>
          </cell>
          <cell r="J396">
            <v>4667.7811847800003</v>
          </cell>
          <cell r="K396">
            <v>-4764.0321903200083</v>
          </cell>
          <cell r="L396">
            <v>-494.7644426300044</v>
          </cell>
          <cell r="M396">
            <v>-12311.454467219999</v>
          </cell>
          <cell r="N396">
            <v>-4803.9928845800077</v>
          </cell>
          <cell r="O396">
            <v>5493.9435208699897</v>
          </cell>
          <cell r="P396">
            <v>22188.19652376022</v>
          </cell>
        </row>
        <row r="397">
          <cell r="E397">
            <v>18144.833842239343</v>
          </cell>
          <cell r="F397">
            <v>418.10610216056875</v>
          </cell>
          <cell r="G397">
            <v>1734.6599459999925</v>
          </cell>
          <cell r="H397">
            <v>5777.188722120598</v>
          </cell>
          <cell r="I397">
            <v>1721.3102969592946</v>
          </cell>
          <cell r="J397">
            <v>-5427.0745920000882</v>
          </cell>
          <cell r="K397">
            <v>4757.5649142002221</v>
          </cell>
          <cell r="L397">
            <v>2411.0381919999982</v>
          </cell>
          <cell r="M397">
            <v>-2569.1520903500641</v>
          </cell>
          <cell r="N397">
            <v>4915.9179678094624</v>
          </cell>
          <cell r="O397">
            <v>1469.0957260000032</v>
          </cell>
          <cell r="P397">
            <v>31435.959811649896</v>
          </cell>
        </row>
        <row r="399">
          <cell r="E399">
            <v>-3315.552959466404</v>
          </cell>
          <cell r="F399">
            <v>-9868.1887686160189</v>
          </cell>
          <cell r="G399">
            <v>-29857.087290539104</v>
          </cell>
          <cell r="H399">
            <v>27330.962085346713</v>
          </cell>
          <cell r="I399">
            <v>-14299.971486285885</v>
          </cell>
          <cell r="J399">
            <v>-13032.6747688919</v>
          </cell>
          <cell r="K399">
            <v>5944.341020210185</v>
          </cell>
          <cell r="L399">
            <v>-11586.136703256105</v>
          </cell>
          <cell r="M399">
            <v>-12994.30369336249</v>
          </cell>
          <cell r="N399">
            <v>-20764.822084152544</v>
          </cell>
          <cell r="O399">
            <v>22101.360297209601</v>
          </cell>
          <cell r="P399">
            <v>-11312.292690251052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74" refreshError="1">
        <row r="16">
          <cell r="BP16">
            <v>0</v>
          </cell>
        </row>
        <row r="17">
          <cell r="BP17">
            <v>0</v>
          </cell>
        </row>
        <row r="18">
          <cell r="BP18">
            <v>0</v>
          </cell>
        </row>
        <row r="19">
          <cell r="BP19">
            <v>0</v>
          </cell>
        </row>
        <row r="20">
          <cell r="BP20">
            <v>0</v>
          </cell>
        </row>
        <row r="21">
          <cell r="BP21">
            <v>0</v>
          </cell>
        </row>
        <row r="22">
          <cell r="BP22">
            <v>0</v>
          </cell>
        </row>
        <row r="23">
          <cell r="BP23">
            <v>0</v>
          </cell>
        </row>
        <row r="24">
          <cell r="BP24">
            <v>0</v>
          </cell>
        </row>
        <row r="25">
          <cell r="BP25">
            <v>0</v>
          </cell>
        </row>
        <row r="26">
          <cell r="BP26">
            <v>0</v>
          </cell>
        </row>
        <row r="27">
          <cell r="BP27">
            <v>0</v>
          </cell>
        </row>
        <row r="28">
          <cell r="BP28">
            <v>0</v>
          </cell>
        </row>
        <row r="29">
          <cell r="BP29">
            <v>0</v>
          </cell>
        </row>
        <row r="30">
          <cell r="BP30">
            <v>0</v>
          </cell>
        </row>
        <row r="31">
          <cell r="BP31">
            <v>0</v>
          </cell>
        </row>
        <row r="32">
          <cell r="BP32">
            <v>0</v>
          </cell>
        </row>
        <row r="33">
          <cell r="BP33">
            <v>0</v>
          </cell>
        </row>
        <row r="34">
          <cell r="BP34">
            <v>0</v>
          </cell>
        </row>
        <row r="35">
          <cell r="BP35">
            <v>0</v>
          </cell>
        </row>
        <row r="36">
          <cell r="BP36">
            <v>0</v>
          </cell>
        </row>
        <row r="37">
          <cell r="BP37">
            <v>0</v>
          </cell>
        </row>
        <row r="38">
          <cell r="BP38">
            <v>0</v>
          </cell>
        </row>
        <row r="39">
          <cell r="BP39">
            <v>0</v>
          </cell>
        </row>
        <row r="40">
          <cell r="BP40">
            <v>0</v>
          </cell>
        </row>
        <row r="41">
          <cell r="BP41">
            <v>0</v>
          </cell>
        </row>
        <row r="42">
          <cell r="BP42">
            <v>0</v>
          </cell>
        </row>
        <row r="43">
          <cell r="BP43">
            <v>0</v>
          </cell>
        </row>
        <row r="44">
          <cell r="BP44">
            <v>0</v>
          </cell>
        </row>
        <row r="45">
          <cell r="BP45">
            <v>0</v>
          </cell>
        </row>
        <row r="46">
          <cell r="BP46">
            <v>0</v>
          </cell>
        </row>
        <row r="47">
          <cell r="BP47">
            <v>0</v>
          </cell>
        </row>
        <row r="48">
          <cell r="BP48">
            <v>0</v>
          </cell>
        </row>
        <row r="49">
          <cell r="BP49">
            <v>0</v>
          </cell>
        </row>
        <row r="50">
          <cell r="BP50">
            <v>0</v>
          </cell>
        </row>
        <row r="51">
          <cell r="BP51">
            <v>0</v>
          </cell>
        </row>
        <row r="52">
          <cell r="BP52">
            <v>0</v>
          </cell>
        </row>
        <row r="53">
          <cell r="BP53">
            <v>0</v>
          </cell>
        </row>
        <row r="54">
          <cell r="BP54">
            <v>0</v>
          </cell>
        </row>
        <row r="55">
          <cell r="BP55">
            <v>0</v>
          </cell>
        </row>
        <row r="56">
          <cell r="BP56">
            <v>0</v>
          </cell>
        </row>
        <row r="57">
          <cell r="BP57">
            <v>0</v>
          </cell>
        </row>
        <row r="89">
          <cell r="BP89">
            <v>0</v>
          </cell>
        </row>
        <row r="90">
          <cell r="BP90">
            <v>0</v>
          </cell>
        </row>
        <row r="91">
          <cell r="BP91">
            <v>0</v>
          </cell>
        </row>
        <row r="92">
          <cell r="BP92">
            <v>0</v>
          </cell>
        </row>
        <row r="93">
          <cell r="BP93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DATOS"/>
      <sheetName val="MENU"/>
      <sheetName val="BALANCE"/>
      <sheetName val="VISOR RESULTADOS - P&amp;L"/>
      <sheetName val="INSTRUCTIONS"/>
      <sheetName val="ÁREAS"/>
      <sheetName val="IDIOMA"/>
      <sheetName val="IDIOMA MATRIZ"/>
      <sheetName val="AN01010100"/>
      <sheetName val="AN01050000"/>
      <sheetName val="AN01010201"/>
      <sheetName val="AN01010202"/>
      <sheetName val="AN01010300"/>
      <sheetName val="AN01010400"/>
      <sheetName val="AN01030300"/>
      <sheetName val="AN01030200"/>
      <sheetName val="AN01030100"/>
      <sheetName val="AN01020200"/>
      <sheetName val="AN01020100"/>
      <sheetName val="AN01020400"/>
      <sheetName val="AN01040100"/>
      <sheetName val="AN01040200"/>
      <sheetName val="AN01040400"/>
      <sheetName val="AN06010000"/>
      <sheetName val="AN06020000"/>
      <sheetName val="AN02050600"/>
      <sheetName val="AN02050650"/>
      <sheetName val="AN02050500"/>
      <sheetName val="AN02050550"/>
      <sheetName val="AN02050800"/>
      <sheetName val="AN02050850"/>
      <sheetName val="AN02050700"/>
      <sheetName val="AN02050750"/>
      <sheetName val="AN02030300"/>
      <sheetName val="AN02030350"/>
      <sheetName val="AN02030400"/>
      <sheetName val="AN02030450"/>
      <sheetName val="AN02030200"/>
      <sheetName val="AN02030250"/>
      <sheetName val="AN02010200"/>
      <sheetName val="AN02010250"/>
      <sheetName val="AN02020100"/>
      <sheetName val="AN02020150"/>
      <sheetName val="AN02020300"/>
      <sheetName val="AN02020350"/>
      <sheetName val="AN02020200"/>
      <sheetName val="AN02020250"/>
      <sheetName val="AN02050300"/>
      <sheetName val="AN02050350"/>
      <sheetName val="AN02080000"/>
      <sheetName val="AN02080050"/>
      <sheetName val="AN02090000"/>
      <sheetName val="AN02050100"/>
      <sheetName val="AN02050150"/>
      <sheetName val="AN02050400"/>
      <sheetName val="AN02050450"/>
      <sheetName val="AN02030900"/>
      <sheetName val="AN02030500"/>
      <sheetName val="AN02060000"/>
      <sheetName val="AN02030401"/>
      <sheetName val="AN02030700"/>
      <sheetName val="AN02030800"/>
      <sheetName val="AN03010000"/>
      <sheetName val="AN03020000"/>
      <sheetName val="AN03030000"/>
      <sheetName val="NC"/>
      <sheetName val="AN04010100"/>
      <sheetName val="AN04010400"/>
      <sheetName val="AN04010500"/>
      <sheetName val="AN04010600"/>
      <sheetName val="AN04010700"/>
      <sheetName val="AN04020000"/>
      <sheetName val="AN04030000"/>
      <sheetName val="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10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11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12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13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14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15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16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17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18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19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20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21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22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23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24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25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26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27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28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29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30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31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32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33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34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35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36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37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38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39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40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41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42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43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44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45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46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47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48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49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50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51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52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53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54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55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56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57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58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59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60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61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62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63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64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65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66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67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68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69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70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71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72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  <sheetData sheetId="73">
        <row r="271">
          <cell r="E271">
            <v>-11011.92636696</v>
          </cell>
          <cell r="F271">
            <v>-2771.5569169600003</v>
          </cell>
          <cell r="G271">
            <v>-6911.4950869599998</v>
          </cell>
          <cell r="H271">
            <v>-6886.9480469599994</v>
          </cell>
          <cell r="I271">
            <v>-6825.1305569600017</v>
          </cell>
          <cell r="J271">
            <v>-6827.2373669599983</v>
          </cell>
          <cell r="K271">
            <v>-6880.3081869599991</v>
          </cell>
          <cell r="L271">
            <v>-6771.0710169600006</v>
          </cell>
          <cell r="M271">
            <v>-6810.2444569600011</v>
          </cell>
          <cell r="N271">
            <v>-6845.9723669600007</v>
          </cell>
          <cell r="O271">
            <v>-6856.7754369600007</v>
          </cell>
          <cell r="P271">
            <v>-6817.7905069600001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6">
          <cell r="E276">
            <v>32.268999999999998</v>
          </cell>
          <cell r="F276">
            <v>12.501300000000001</v>
          </cell>
          <cell r="G276">
            <v>21.846959999999999</v>
          </cell>
          <cell r="H276">
            <v>49.064999999999998</v>
          </cell>
          <cell r="I276">
            <v>60.424430000000001</v>
          </cell>
          <cell r="J276">
            <v>36.454999999999998</v>
          </cell>
          <cell r="K276">
            <v>772.55281000000014</v>
          </cell>
          <cell r="L276">
            <v>52.641099999999994</v>
          </cell>
          <cell r="M276">
            <v>169.01767000000001</v>
          </cell>
          <cell r="N276">
            <v>289.03899999999999</v>
          </cell>
          <cell r="O276">
            <v>12.49943</v>
          </cell>
          <cell r="P276">
            <v>116.45838000000001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E302">
            <v>-70.688329999999496</v>
          </cell>
          <cell r="F302">
            <v>-65.689229999999498</v>
          </cell>
          <cell r="G302">
            <v>-53.178580000000238</v>
          </cell>
          <cell r="H302">
            <v>-79.71465999999964</v>
          </cell>
          <cell r="I302">
            <v>-191.44657000000007</v>
          </cell>
          <cell r="J302">
            <v>-23837.289379999998</v>
          </cell>
          <cell r="K302">
            <v>-857.04857000000084</v>
          </cell>
          <cell r="L302">
            <v>-859.24005000000079</v>
          </cell>
          <cell r="M302">
            <v>-860.81192000000055</v>
          </cell>
          <cell r="N302">
            <v>-852.26380999999947</v>
          </cell>
          <cell r="O302">
            <v>-855.7740400000007</v>
          </cell>
          <cell r="P302">
            <v>-23889.631019999997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E307">
            <v>32.31268</v>
          </cell>
          <cell r="F307">
            <v>24.032119999999999</v>
          </cell>
          <cell r="G307">
            <v>17.4495</v>
          </cell>
          <cell r="H307">
            <v>37.640450000000001</v>
          </cell>
          <cell r="I307">
            <v>29.781790000000001</v>
          </cell>
          <cell r="J307">
            <v>25.758749999999999</v>
          </cell>
          <cell r="K307">
            <v>22.998670000000001</v>
          </cell>
          <cell r="L307">
            <v>23.154389999999999</v>
          </cell>
          <cell r="M307">
            <v>22.367810000000002</v>
          </cell>
          <cell r="N307">
            <v>16.87077</v>
          </cell>
          <cell r="O307">
            <v>16.833680000000001</v>
          </cell>
          <cell r="P307">
            <v>31.081019999999999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1.18967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-50.008710000000001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E363">
            <v>0</v>
          </cell>
          <cell r="F363">
            <v>69.100820000000013</v>
          </cell>
          <cell r="G363">
            <v>-0.62300000000000111</v>
          </cell>
          <cell r="H363">
            <v>0</v>
          </cell>
          <cell r="I363">
            <v>288.64800000000002</v>
          </cell>
          <cell r="J363">
            <v>0</v>
          </cell>
          <cell r="K363">
            <v>0</v>
          </cell>
          <cell r="L363">
            <v>268.95299999999997</v>
          </cell>
          <cell r="M363">
            <v>0</v>
          </cell>
          <cell r="N363">
            <v>0</v>
          </cell>
          <cell r="O363">
            <v>4067.0970000000002</v>
          </cell>
          <cell r="P363">
            <v>3866.5364199999999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E383">
            <v>0</v>
          </cell>
          <cell r="F383">
            <v>0</v>
          </cell>
          <cell r="G383">
            <v>-1.0999999999938836E-4</v>
          </cell>
          <cell r="H383">
            <v>2000</v>
          </cell>
          <cell r="I383">
            <v>2988.72937</v>
          </cell>
          <cell r="J383">
            <v>-0.50084000000000017</v>
          </cell>
          <cell r="K383">
            <v>0</v>
          </cell>
          <cell r="L383">
            <v>3.9999999999906777E-4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5">
          <cell r="E385">
            <v>-243.80375000000004</v>
          </cell>
          <cell r="F385">
            <v>-610.60749999999996</v>
          </cell>
          <cell r="G385">
            <v>-721.52507999999989</v>
          </cell>
          <cell r="H385">
            <v>-100.87387999999999</v>
          </cell>
          <cell r="I385">
            <v>-409.54769000000005</v>
          </cell>
          <cell r="J385">
            <v>-331.2987</v>
          </cell>
          <cell r="K385">
            <v>-419.12691000000001</v>
          </cell>
          <cell r="L385">
            <v>-419.29232999999999</v>
          </cell>
          <cell r="M385">
            <v>-417.03156000000001</v>
          </cell>
          <cell r="N385">
            <v>-1490.9230500000001</v>
          </cell>
          <cell r="O385">
            <v>-197.75422</v>
          </cell>
          <cell r="P385">
            <v>1483.49883</v>
          </cell>
        </row>
        <row r="386">
          <cell r="E386">
            <v>-1814.30801</v>
          </cell>
          <cell r="F386">
            <v>-2753.2613799999999</v>
          </cell>
          <cell r="G386">
            <v>-3563.8136300000001</v>
          </cell>
          <cell r="H386">
            <v>-682.05231000000026</v>
          </cell>
          <cell r="I386">
            <v>-6591.8687300000011</v>
          </cell>
          <cell r="J386">
            <v>-9074.7020200000006</v>
          </cell>
          <cell r="K386">
            <v>-8231.1892800000005</v>
          </cell>
          <cell r="L386">
            <v>-7703.8588600000003</v>
          </cell>
          <cell r="M386">
            <v>-23369.676670000001</v>
          </cell>
          <cell r="N386">
            <v>-8949.8478100000011</v>
          </cell>
          <cell r="O386">
            <v>-2178.0035499999994</v>
          </cell>
          <cell r="P386">
            <v>-20778.2503</v>
          </cell>
        </row>
        <row r="387">
          <cell r="E387">
            <v>0</v>
          </cell>
          <cell r="F387">
            <v>0</v>
          </cell>
          <cell r="G387">
            <v>-7.7587600000000005</v>
          </cell>
          <cell r="H387">
            <v>-1.7208500000000002</v>
          </cell>
          <cell r="I387">
            <v>-1.7208500000000002</v>
          </cell>
          <cell r="J387">
            <v>-1.7208400000000001</v>
          </cell>
          <cell r="K387">
            <v>-1.7208400000000001</v>
          </cell>
          <cell r="L387">
            <v>-1.7208400000000001</v>
          </cell>
          <cell r="M387">
            <v>-1.7208400000000001</v>
          </cell>
          <cell r="N387">
            <v>-1.7208400000000001</v>
          </cell>
          <cell r="O387">
            <v>-1.7208400000000001</v>
          </cell>
          <cell r="P387">
            <v>-1.7208400000000001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6">
          <cell r="E396">
            <v>7.9295200066553662E-2</v>
          </cell>
          <cell r="F396">
            <v>-1.6253155993797286</v>
          </cell>
          <cell r="G396">
            <v>-23595.15821400001</v>
          </cell>
          <cell r="H396">
            <v>23039.1123620002</v>
          </cell>
          <cell r="I396">
            <v>-3.1364830407080948</v>
          </cell>
          <cell r="J396">
            <v>-3982.361892000089</v>
          </cell>
          <cell r="K396">
            <v>4448.9811842002127</v>
          </cell>
          <cell r="L396">
            <v>58.674181999999284</v>
          </cell>
          <cell r="M396">
            <v>114.88972964993859</v>
          </cell>
          <cell r="N396">
            <v>96.989578989453292</v>
          </cell>
          <cell r="O396">
            <v>-6979.6920739999969</v>
          </cell>
          <cell r="P396">
            <v>6493.3095755900995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9">
          <cell r="E399">
            <v>10740.037830079673</v>
          </cell>
          <cell r="F399">
            <v>3661.5536755200678</v>
          </cell>
          <cell r="G399">
            <v>36005.92244040002</v>
          </cell>
          <cell r="H399">
            <v>-25736.97863968007</v>
          </cell>
          <cell r="I399">
            <v>2842.1011510400062</v>
          </cell>
          <cell r="J399">
            <v>21213.525345520055</v>
          </cell>
          <cell r="K399">
            <v>6936.4398194001251</v>
          </cell>
          <cell r="L399">
            <v>583.85505245441436</v>
          </cell>
          <cell r="M399">
            <v>65734.790269749821</v>
          </cell>
          <cell r="N399">
            <v>13198.89291867005</v>
          </cell>
          <cell r="O399">
            <v>5505.4683164700464</v>
          </cell>
          <cell r="P399">
            <v>6870.1645961899512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</sheetData>
      <sheetData sheetId="74"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Volumes"/>
      <sheetName val="Capital Plan"/>
      <sheetName val="Liquidity and Funding Plan"/>
      <sheetName val="2014 Data"/>
    </sheetNames>
    <sheetDataSet>
      <sheetData sheetId="0">
        <row r="10">
          <cell r="N10">
            <v>509.79177135274801</v>
          </cell>
        </row>
      </sheetData>
      <sheetData sheetId="1" refreshError="1"/>
      <sheetData sheetId="2">
        <row r="12">
          <cell r="N12">
            <v>28012.832526719601</v>
          </cell>
        </row>
      </sheetData>
      <sheetData sheetId="3" refreshError="1"/>
      <sheetData sheetId="4">
        <row r="5">
          <cell r="Q5">
            <v>4057.4279617972102</v>
          </cell>
        </row>
        <row r="26">
          <cell r="Q26">
            <v>26002.759910622361</v>
          </cell>
        </row>
        <row r="27">
          <cell r="Q27">
            <v>-3248.814187341</v>
          </cell>
        </row>
        <row r="31">
          <cell r="Q31">
            <v>30828.594939599599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USA"/>
      <sheetName val="P&amp;L"/>
      <sheetName val="Volumes"/>
      <sheetName val="Capital Plan"/>
      <sheetName val="Liquidity and Funding Plan"/>
    </sheetNames>
    <sheetDataSet>
      <sheetData sheetId="0"/>
      <sheetData sheetId="1">
        <row r="9">
          <cell r="N9">
            <v>4539.8276532471109</v>
          </cell>
        </row>
        <row r="31">
          <cell r="N31">
            <v>30626.119733079351</v>
          </cell>
          <cell r="O31">
            <v>31898.776568650836</v>
          </cell>
          <cell r="S31">
            <v>32092.578391770679</v>
          </cell>
          <cell r="T31">
            <v>32975.828864335897</v>
          </cell>
        </row>
      </sheetData>
      <sheetData sheetId="2">
        <row r="10">
          <cell r="N10">
            <v>35013.082928485062</v>
          </cell>
        </row>
      </sheetData>
      <sheetData sheetId="3">
        <row r="9">
          <cell r="N9">
            <v>37317.881518937516</v>
          </cell>
        </row>
      </sheetData>
      <sheetData sheetId="4">
        <row r="9">
          <cell r="N9">
            <v>33397.728865035344</v>
          </cell>
        </row>
        <row r="21">
          <cell r="N21">
            <v>0</v>
          </cell>
          <cell r="O21">
            <v>0</v>
          </cell>
          <cell r="S21">
            <v>0</v>
          </cell>
          <cell r="T2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MENU"/>
      <sheetName val="BALANCE"/>
      <sheetName val="VISOR RESULTADOS - P&amp;L"/>
      <sheetName val="INSTRUCTIONS"/>
      <sheetName val="IDIOMA"/>
      <sheetName val="ÁREAS"/>
      <sheetName val="IDIOMA MATRIZ"/>
      <sheetName val="DATOS"/>
      <sheetName val="BP"/>
      <sheetName val="AN01010201"/>
      <sheetName val="AN01010202"/>
      <sheetName val="AN01010300"/>
      <sheetName val="AN01010400"/>
      <sheetName val="BC1010"/>
      <sheetName val="AN01020200"/>
      <sheetName val="BC1015"/>
      <sheetName val="BC1020"/>
      <sheetName val="AN01040400"/>
      <sheetName val="FC"/>
      <sheetName val="AN02020100"/>
      <sheetName val="AN02020150"/>
      <sheetName val="GA"/>
      <sheetName val="AN03030000"/>
      <sheetName val="AC"/>
      <sheetName val="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72"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</row>
        <row r="293"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</row>
        <row r="338"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</row>
        <row r="347"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</row>
        <row r="365"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</row>
        <row r="384"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</row>
        <row r="388"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</row>
        <row r="395"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</row>
        <row r="402"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</row>
        <row r="406"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</row>
      </sheetData>
      <sheetData sheetId="11">
        <row r="272"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</row>
        <row r="293"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</row>
        <row r="338"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</row>
        <row r="347"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</row>
        <row r="365"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</row>
        <row r="384"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</row>
        <row r="388"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</row>
        <row r="395"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</row>
        <row r="402"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</row>
        <row r="406"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</row>
      </sheetData>
      <sheetData sheetId="12">
        <row r="272"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</row>
        <row r="293"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</row>
        <row r="338"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</row>
        <row r="347"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</row>
        <row r="365"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</row>
        <row r="384"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</row>
        <row r="388"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</row>
        <row r="395"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</row>
        <row r="402"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</row>
        <row r="406"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</row>
      </sheetData>
      <sheetData sheetId="13">
        <row r="272"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</row>
        <row r="293"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</row>
        <row r="338"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</row>
        <row r="347"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</row>
        <row r="365"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</row>
        <row r="384"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</row>
        <row r="388"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</row>
        <row r="395"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</row>
        <row r="402"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</row>
        <row r="406"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</row>
      </sheetData>
      <sheetData sheetId="14">
        <row r="272"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</row>
        <row r="293"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</row>
        <row r="338"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</row>
        <row r="347"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</row>
        <row r="365"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</row>
        <row r="384"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</row>
        <row r="388"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</row>
        <row r="395"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</row>
        <row r="402"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</row>
        <row r="406"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</row>
      </sheetData>
      <sheetData sheetId="15">
        <row r="272"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</row>
        <row r="293"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</row>
        <row r="338"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</row>
        <row r="347"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</row>
        <row r="365"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</row>
        <row r="384"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</row>
        <row r="388"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</row>
        <row r="395"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</row>
        <row r="402"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</row>
        <row r="406"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</row>
      </sheetData>
      <sheetData sheetId="16">
        <row r="272"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</row>
        <row r="293"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</row>
        <row r="338"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</row>
        <row r="347"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</row>
        <row r="365"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</row>
        <row r="384"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</row>
        <row r="388"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</row>
        <row r="395"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</row>
        <row r="402"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</row>
        <row r="406"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</row>
      </sheetData>
      <sheetData sheetId="17">
        <row r="272"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</row>
        <row r="293"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</row>
        <row r="338"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</row>
        <row r="347"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</row>
        <row r="365"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</row>
        <row r="384"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</row>
        <row r="388"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</row>
        <row r="395"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</row>
        <row r="402"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</row>
        <row r="406"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</row>
      </sheetData>
      <sheetData sheetId="18">
        <row r="272"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</row>
        <row r="293"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</row>
        <row r="338"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</row>
        <row r="347"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</row>
        <row r="365"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</row>
        <row r="384"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</row>
        <row r="388"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</row>
        <row r="395"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</row>
        <row r="402"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</row>
        <row r="406"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</row>
      </sheetData>
      <sheetData sheetId="19">
        <row r="272"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</row>
        <row r="293"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</row>
        <row r="338"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</row>
        <row r="347"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</row>
        <row r="365"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</row>
        <row r="384"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</row>
        <row r="388"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</row>
        <row r="395"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</row>
        <row r="402"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</row>
        <row r="406"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</row>
      </sheetData>
      <sheetData sheetId="20">
        <row r="272"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</row>
        <row r="293"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</row>
        <row r="338"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</row>
        <row r="347"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</row>
        <row r="365"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</row>
        <row r="384"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</row>
        <row r="388"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</row>
        <row r="395"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</row>
        <row r="402"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</row>
        <row r="406"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</row>
      </sheetData>
      <sheetData sheetId="21">
        <row r="272"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</row>
        <row r="293"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</row>
        <row r="338"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</row>
        <row r="347"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</row>
        <row r="365"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</row>
        <row r="384"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</row>
        <row r="388"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</row>
        <row r="395"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</row>
        <row r="402"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</row>
        <row r="406"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</row>
      </sheetData>
      <sheetData sheetId="22">
        <row r="272"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</row>
        <row r="293"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</row>
        <row r="338"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</row>
        <row r="347"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</row>
        <row r="365"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</row>
        <row r="384"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</row>
        <row r="388"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</row>
        <row r="395"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</row>
        <row r="402"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</row>
        <row r="406"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</row>
      </sheetData>
      <sheetData sheetId="23">
        <row r="272"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</row>
        <row r="293"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</row>
        <row r="338"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</row>
        <row r="347"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</row>
        <row r="365"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</row>
        <row r="384"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</row>
        <row r="388"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</row>
        <row r="395"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</row>
        <row r="402"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</row>
        <row r="406"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</row>
      </sheetData>
      <sheetData sheetId="24">
        <row r="272">
          <cell r="E272">
            <v>-20509.092563329999</v>
          </cell>
          <cell r="F272">
            <v>-26211.942981739998</v>
          </cell>
          <cell r="G272">
            <v>-37191.925023820004</v>
          </cell>
          <cell r="H272">
            <v>-34113.065530367334</v>
          </cell>
          <cell r="I272">
            <v>-146044.21310470259</v>
          </cell>
          <cell r="J272">
            <v>-148620.32070698324</v>
          </cell>
          <cell r="K272">
            <v>-195723.63700879709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E277">
            <v>13.157290000000001</v>
          </cell>
          <cell r="F277">
            <v>11.20486</v>
          </cell>
          <cell r="G277">
            <v>11.079870000000001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</row>
        <row r="293"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E302">
            <v>-8150.1453199999996</v>
          </cell>
          <cell r="F302">
            <v>-37195.57675</v>
          </cell>
          <cell r="G302">
            <v>-12965.816459999996</v>
          </cell>
          <cell r="H302">
            <v>-24000</v>
          </cell>
          <cell r="I302">
            <v>49999.999999999978</v>
          </cell>
          <cell r="J302">
            <v>70000.000000000015</v>
          </cell>
          <cell r="K302">
            <v>70000.000000000015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</row>
        <row r="307">
          <cell r="E307">
            <v>74.013490000000019</v>
          </cell>
          <cell r="F307">
            <v>97.786050000000003</v>
          </cell>
          <cell r="G307">
            <v>64.836270000000013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E330">
            <v>-187.5</v>
          </cell>
          <cell r="F330">
            <v>-186.8775</v>
          </cell>
          <cell r="G330">
            <v>-187.1661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</row>
        <row r="338"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</row>
        <row r="347"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E357">
            <v>0.37616000000000005</v>
          </cell>
          <cell r="F357">
            <v>-0.37616000000000005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E360">
            <v>-36.38505</v>
          </cell>
          <cell r="F360">
            <v>-19.318660000000001</v>
          </cell>
          <cell r="G360">
            <v>-19.180820000000001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</row>
        <row r="365"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E367">
            <v>-3941.3992899999998</v>
          </cell>
          <cell r="F367">
            <v>125.27807</v>
          </cell>
          <cell r="G367">
            <v>-1734.0518999999999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E382">
            <v>2703.76197</v>
          </cell>
          <cell r="F382">
            <v>-2778.59371693</v>
          </cell>
          <cell r="G382">
            <v>-66.495450000000005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</row>
        <row r="384">
          <cell r="E384">
            <v>9.2381100000000007</v>
          </cell>
          <cell r="F384">
            <v>65.386830000000003</v>
          </cell>
          <cell r="G384">
            <v>65.386830000000003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5"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E386">
            <v>-4313.3226457600003</v>
          </cell>
          <cell r="F386">
            <v>-2255.6470735000003</v>
          </cell>
          <cell r="G386">
            <v>-3117.2990440999993</v>
          </cell>
          <cell r="H386">
            <v>-6636.7043810200075</v>
          </cell>
          <cell r="I386">
            <v>-114999.99999999999</v>
          </cell>
          <cell r="J386">
            <v>-115000.00000000003</v>
          </cell>
          <cell r="K386">
            <v>-90000.000000000015</v>
          </cell>
        </row>
        <row r="387">
          <cell r="E387">
            <v>-22254.457335840001</v>
          </cell>
          <cell r="F387">
            <v>-32718.384245799996</v>
          </cell>
          <cell r="G387">
            <v>-62659.519408000007</v>
          </cell>
          <cell r="H387">
            <v>-65430.497979999978</v>
          </cell>
          <cell r="I387">
            <v>-189000</v>
          </cell>
          <cell r="J387">
            <v>-158404.32699999996</v>
          </cell>
          <cell r="K387">
            <v>-130642.35000000005</v>
          </cell>
        </row>
        <row r="388">
          <cell r="E388">
            <v>-60.81091344</v>
          </cell>
          <cell r="F388">
            <v>-2570.6850918199998</v>
          </cell>
          <cell r="G388">
            <v>-2255.2530859400003</v>
          </cell>
          <cell r="H388">
            <v>-342.63490200000223</v>
          </cell>
          <cell r="I388">
            <v>-22002.312999999998</v>
          </cell>
          <cell r="J388">
            <v>-38595.673000000003</v>
          </cell>
          <cell r="K388">
            <v>-40357.649999999987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</row>
        <row r="390">
          <cell r="E390">
            <v>-36.38505</v>
          </cell>
          <cell r="F390">
            <v>-19.318660000000001</v>
          </cell>
          <cell r="G390">
            <v>-19.180820000000001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4"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</row>
        <row r="395">
          <cell r="E395">
            <v>0</v>
          </cell>
          <cell r="F395">
            <v>-49.488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E397">
            <v>-5237.62788</v>
          </cell>
          <cell r="F397">
            <v>-511.65</v>
          </cell>
          <cell r="G397">
            <v>-511.75149999999996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E400">
            <v>14128.386690239999</v>
          </cell>
          <cell r="F400">
            <v>21496.729791259997</v>
          </cell>
          <cell r="G400">
            <v>29755.173236809995</v>
          </cell>
          <cell r="H400">
            <v>38045.91337140034</v>
          </cell>
          <cell r="I400">
            <v>91173.009897515032</v>
          </cell>
          <cell r="J400">
            <v>79443.250165420381</v>
          </cell>
          <cell r="K400">
            <v>64682.436796202077</v>
          </cell>
        </row>
        <row r="401"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</row>
        <row r="402"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</row>
        <row r="403"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</row>
        <row r="406"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</row>
      </sheetData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MENU"/>
      <sheetName val="BALANCE"/>
      <sheetName val="VISOR RESULTADOS - P&amp;L"/>
      <sheetName val="INSTRUCTIONS"/>
      <sheetName val="IDIOMA"/>
      <sheetName val="ÁREAS"/>
      <sheetName val="IDIOMA MATRIZ"/>
      <sheetName val="DATOS"/>
      <sheetName val="BP"/>
      <sheetName val="AN01010201"/>
      <sheetName val="AN01010202"/>
      <sheetName val="AN01010300"/>
      <sheetName val="AN01010400"/>
      <sheetName val="BC1010"/>
      <sheetName val="AN01020200"/>
      <sheetName val="BC1015"/>
      <sheetName val="BC1020"/>
      <sheetName val="AN01040400"/>
      <sheetName val="FC"/>
      <sheetName val="AN02020100"/>
      <sheetName val="AN02020150"/>
      <sheetName val="GA"/>
      <sheetName val="AN03030000"/>
      <sheetName val="AC"/>
      <sheetName val="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72">
          <cell r="E272">
            <v>-15822.724689999995</v>
          </cell>
          <cell r="F272">
            <v>-21582.865090000007</v>
          </cell>
          <cell r="G272">
            <v>-32562.840999999993</v>
          </cell>
          <cell r="H272">
            <v>-25413.938671450858</v>
          </cell>
          <cell r="I272">
            <v>-135445.30729857943</v>
          </cell>
          <cell r="J272">
            <v>-130479.0175359702</v>
          </cell>
          <cell r="K272">
            <v>-137946.88370569207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7"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83"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</row>
        <row r="293"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</row>
        <row r="338"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</row>
        <row r="347"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</row>
        <row r="365"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</row>
        <row r="384"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-3424.8287810200004</v>
          </cell>
          <cell r="I386">
            <v>-4639.7671885642858</v>
          </cell>
          <cell r="J386">
            <v>-4732.5625323355716</v>
          </cell>
          <cell r="K386">
            <v>-4827.2137829822859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-5113.0842199999997</v>
          </cell>
          <cell r="I387">
            <v>-2314.1586239999979</v>
          </cell>
          <cell r="J387">
            <v>-2314.1586239999979</v>
          </cell>
          <cell r="K387">
            <v>-2314.1586239999942</v>
          </cell>
        </row>
        <row r="388">
          <cell r="E388">
            <v>0</v>
          </cell>
          <cell r="F388">
            <v>0</v>
          </cell>
          <cell r="G388">
            <v>0</v>
          </cell>
          <cell r="H388">
            <v>2.5997999999672176E-2</v>
          </cell>
          <cell r="I388">
            <v>-0.95282399999909106</v>
          </cell>
          <cell r="J388">
            <v>-0.95282400000002232</v>
          </cell>
          <cell r="K388">
            <v>-0.95282399999909106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400">
          <cell r="E400">
            <v>5537.9536549999766</v>
          </cell>
          <cell r="F400">
            <v>7554.002797500003</v>
          </cell>
          <cell r="G400">
            <v>11396.994331499996</v>
          </cell>
          <cell r="H400">
            <v>11883.100597852766</v>
          </cell>
          <cell r="I400">
            <v>49840.065077300264</v>
          </cell>
          <cell r="J400">
            <v>48134.342030707063</v>
          </cell>
          <cell r="K400">
            <v>50781.223127835976</v>
          </cell>
        </row>
      </sheetData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MENU"/>
      <sheetName val="BALANCE"/>
      <sheetName val="VISOR RESULTADOS - P&amp;L"/>
      <sheetName val="INSTRUCTIONS"/>
      <sheetName val="IDIOMA"/>
      <sheetName val="ÁREAS"/>
      <sheetName val="IDIOMA MATRIZ"/>
      <sheetName val="DATOS"/>
      <sheetName val="BP"/>
      <sheetName val="AN01010201"/>
      <sheetName val="AN01010202"/>
      <sheetName val="AN01010300"/>
      <sheetName val="AN01010400"/>
      <sheetName val="BC1010"/>
      <sheetName val="AN01020200"/>
      <sheetName val="BC1015"/>
      <sheetName val="BC1020"/>
      <sheetName val="AN01040400"/>
      <sheetName val="FC"/>
      <sheetName val="AN02020100"/>
      <sheetName val="AN02020150"/>
      <sheetName val="GA"/>
      <sheetName val="AN03030000"/>
      <sheetName val="AC"/>
      <sheetName val="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72"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</sheetData>
      <sheetData sheetId="11">
        <row r="272"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</sheetData>
      <sheetData sheetId="12">
        <row r="10">
          <cell r="AN10">
            <v>161087.64295712963</v>
          </cell>
          <cell r="AO10">
            <v>167748.87509611031</v>
          </cell>
          <cell r="AP10">
            <v>167738.8761886358</v>
          </cell>
          <cell r="AQ10">
            <v>167738.08509257235</v>
          </cell>
        </row>
        <row r="12">
          <cell r="AN12">
            <v>0</v>
          </cell>
          <cell r="AO12">
            <v>0</v>
          </cell>
          <cell r="AP12">
            <v>0</v>
          </cell>
          <cell r="AQ12">
            <v>0</v>
          </cell>
        </row>
        <row r="13">
          <cell r="AN13">
            <v>0</v>
          </cell>
          <cell r="AO13">
            <v>0</v>
          </cell>
          <cell r="AP13">
            <v>0</v>
          </cell>
          <cell r="AQ13">
            <v>0</v>
          </cell>
        </row>
        <row r="15">
          <cell r="AN15">
            <v>0</v>
          </cell>
          <cell r="AO15">
            <v>0</v>
          </cell>
          <cell r="AP15">
            <v>0</v>
          </cell>
          <cell r="AQ15">
            <v>0</v>
          </cell>
        </row>
        <row r="31">
          <cell r="AN31">
            <v>12642878.739943406</v>
          </cell>
          <cell r="AO31">
            <v>13179628.43087765</v>
          </cell>
          <cell r="AP31">
            <v>13858400.991466135</v>
          </cell>
          <cell r="AQ31">
            <v>14599745.711537439</v>
          </cell>
          <cell r="AV31">
            <v>12656734.327389736</v>
          </cell>
          <cell r="AW31">
            <v>12877343.72605883</v>
          </cell>
          <cell r="AX31">
            <v>13502095.371709622</v>
          </cell>
          <cell r="AY31">
            <v>14388184.188897328</v>
          </cell>
        </row>
        <row r="32"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</row>
        <row r="33"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</row>
        <row r="41">
          <cell r="AN41">
            <v>1088180.9119375262</v>
          </cell>
          <cell r="AO41">
            <v>977611.64663978468</v>
          </cell>
          <cell r="AP41">
            <v>1122753.020286663</v>
          </cell>
          <cell r="AQ41">
            <v>1390348.438291654</v>
          </cell>
          <cell r="AV41">
            <v>1113797.5492560246</v>
          </cell>
          <cell r="AW41">
            <v>1017411.3681384373</v>
          </cell>
          <cell r="AX41">
            <v>1048319.3231740253</v>
          </cell>
          <cell r="AY41">
            <v>1259490.1075184282</v>
          </cell>
        </row>
        <row r="46"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</row>
        <row r="47"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</row>
        <row r="48"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</row>
        <row r="52"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</row>
        <row r="53"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</row>
        <row r="54">
          <cell r="AN54">
            <v>299562.6843926732</v>
          </cell>
          <cell r="AO54">
            <v>348940.67865827685</v>
          </cell>
          <cell r="AP54">
            <v>440904.84846698109</v>
          </cell>
          <cell r="AQ54">
            <v>536740.78417768679</v>
          </cell>
          <cell r="AV54">
            <v>291202.77309007023</v>
          </cell>
          <cell r="AW54">
            <v>319623.75122563512</v>
          </cell>
          <cell r="AX54">
            <v>390651.29298595653</v>
          </cell>
          <cell r="AY54">
            <v>485845.60089986457</v>
          </cell>
        </row>
        <row r="56"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</row>
        <row r="58"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</row>
        <row r="60">
          <cell r="AN60">
            <v>0</v>
          </cell>
          <cell r="AO60">
            <v>0</v>
          </cell>
          <cell r="AP60">
            <v>0</v>
          </cell>
          <cell r="AQ60">
            <v>0</v>
          </cell>
        </row>
        <row r="62">
          <cell r="AN62">
            <v>0</v>
          </cell>
          <cell r="AO62">
            <v>0</v>
          </cell>
          <cell r="AP62">
            <v>0</v>
          </cell>
          <cell r="AQ62">
            <v>0</v>
          </cell>
        </row>
        <row r="64">
          <cell r="AN64">
            <v>2191644.1249735374</v>
          </cell>
          <cell r="AO64">
            <v>1879003.7104112078</v>
          </cell>
          <cell r="AP64">
            <v>1600186.0571260788</v>
          </cell>
          <cell r="AQ64">
            <v>1362807.6019968961</v>
          </cell>
        </row>
        <row r="67">
          <cell r="AN67">
            <v>0</v>
          </cell>
          <cell r="AO67">
            <v>0</v>
          </cell>
          <cell r="AP67">
            <v>0</v>
          </cell>
          <cell r="AQ67">
            <v>0</v>
          </cell>
        </row>
        <row r="74">
          <cell r="AN74">
            <v>0</v>
          </cell>
          <cell r="AO74">
            <v>0</v>
          </cell>
          <cell r="AP74">
            <v>0</v>
          </cell>
          <cell r="AQ74">
            <v>0</v>
          </cell>
        </row>
        <row r="75">
          <cell r="AN75">
            <v>0</v>
          </cell>
          <cell r="AO75">
            <v>0</v>
          </cell>
          <cell r="AP75">
            <v>0</v>
          </cell>
          <cell r="AQ75">
            <v>0</v>
          </cell>
        </row>
        <row r="77">
          <cell r="AN77">
            <v>0</v>
          </cell>
          <cell r="AO77">
            <v>0</v>
          </cell>
          <cell r="AP77">
            <v>0</v>
          </cell>
          <cell r="AQ77">
            <v>0</v>
          </cell>
        </row>
        <row r="88">
          <cell r="AN88">
            <v>0</v>
          </cell>
          <cell r="AO88">
            <v>0</v>
          </cell>
          <cell r="AP88">
            <v>0</v>
          </cell>
          <cell r="AQ88">
            <v>0</v>
          </cell>
        </row>
        <row r="90">
          <cell r="AN90">
            <v>-192331.24071062237</v>
          </cell>
          <cell r="AO90">
            <v>-199752.45004030043</v>
          </cell>
          <cell r="AP90">
            <v>-214504.74404030043</v>
          </cell>
          <cell r="AQ90">
            <v>-228541.49404030049</v>
          </cell>
        </row>
        <row r="98">
          <cell r="AN98">
            <v>312517.64147000003</v>
          </cell>
          <cell r="AO98">
            <v>312497.34557</v>
          </cell>
          <cell r="AP98">
            <v>312497.34557</v>
          </cell>
          <cell r="AQ98">
            <v>312497.34557</v>
          </cell>
        </row>
        <row r="99">
          <cell r="AN99">
            <v>1598.4815094907408</v>
          </cell>
          <cell r="AO99">
            <v>2058.7276883209502</v>
          </cell>
          <cell r="AP99">
            <v>2058.2688911277814</v>
          </cell>
          <cell r="AQ99">
            <v>2058.2602567549961</v>
          </cell>
        </row>
        <row r="100">
          <cell r="AN100">
            <v>0.24581999999999996</v>
          </cell>
          <cell r="AO100">
            <v>0.24581999999999996</v>
          </cell>
          <cell r="AP100">
            <v>0.24581999999999996</v>
          </cell>
          <cell r="AQ100">
            <v>0.24581999999999996</v>
          </cell>
        </row>
        <row r="102">
          <cell r="AN102">
            <v>0</v>
          </cell>
          <cell r="AO102">
            <v>0</v>
          </cell>
          <cell r="AP102">
            <v>0</v>
          </cell>
          <cell r="AQ102">
            <v>0</v>
          </cell>
        </row>
        <row r="103">
          <cell r="AN103">
            <v>0</v>
          </cell>
          <cell r="AO103">
            <v>0</v>
          </cell>
          <cell r="AP103">
            <v>0</v>
          </cell>
          <cell r="AQ103">
            <v>0</v>
          </cell>
        </row>
        <row r="104">
          <cell r="AN104">
            <v>44416.355456342593</v>
          </cell>
          <cell r="AO104">
            <v>46514.759152009807</v>
          </cell>
          <cell r="AP104">
            <v>46516.869936876341</v>
          </cell>
          <cell r="AQ104">
            <v>46516.851167362765</v>
          </cell>
        </row>
        <row r="108">
          <cell r="AN108">
            <v>195154.57530907408</v>
          </cell>
          <cell r="AO108">
            <v>194013.22612770245</v>
          </cell>
          <cell r="AP108">
            <v>194013.22719310343</v>
          </cell>
          <cell r="AQ108">
            <v>194013.22722181951</v>
          </cell>
        </row>
        <row r="111">
          <cell r="AN111">
            <v>0</v>
          </cell>
          <cell r="AO111">
            <v>0</v>
          </cell>
          <cell r="AP111">
            <v>0</v>
          </cell>
          <cell r="AQ111">
            <v>0</v>
          </cell>
        </row>
        <row r="113">
          <cell r="AN113">
            <v>0</v>
          </cell>
          <cell r="AO113">
            <v>0</v>
          </cell>
          <cell r="AP113">
            <v>0</v>
          </cell>
          <cell r="AQ113">
            <v>0</v>
          </cell>
        </row>
        <row r="114">
          <cell r="AN114">
            <v>0</v>
          </cell>
          <cell r="AO114">
            <v>0</v>
          </cell>
          <cell r="AP114">
            <v>0</v>
          </cell>
          <cell r="AQ114">
            <v>0</v>
          </cell>
        </row>
        <row r="116">
          <cell r="AN116">
            <v>-8431087.9472840857</v>
          </cell>
          <cell r="AO116">
            <v>-8170600.7240438676</v>
          </cell>
          <cell r="AP116">
            <v>-8161325.2839629957</v>
          </cell>
          <cell r="AQ116">
            <v>-8435585.3309118822</v>
          </cell>
        </row>
        <row r="117">
          <cell r="AN117">
            <v>-20546550.835174344</v>
          </cell>
          <cell r="AO117">
            <v>-22363219.775436673</v>
          </cell>
          <cell r="AP117">
            <v>-23540555.579362381</v>
          </cell>
          <cell r="AQ117">
            <v>-24039849.061170049</v>
          </cell>
        </row>
        <row r="118">
          <cell r="AN118">
            <v>0</v>
          </cell>
          <cell r="AO118">
            <v>0</v>
          </cell>
          <cell r="AP118">
            <v>0</v>
          </cell>
          <cell r="AQ118">
            <v>0</v>
          </cell>
        </row>
        <row r="119">
          <cell r="AN119">
            <v>-3525802.1287193489</v>
          </cell>
          <cell r="AO119">
            <v>-3660879.4948593471</v>
          </cell>
          <cell r="AP119">
            <v>-3801989.9575593453</v>
          </cell>
          <cell r="AQ119">
            <v>-4111456.4870793456</v>
          </cell>
        </row>
        <row r="125">
          <cell r="AN125">
            <v>0</v>
          </cell>
          <cell r="AO125">
            <v>0</v>
          </cell>
          <cell r="AP125">
            <v>0</v>
          </cell>
          <cell r="AQ125">
            <v>0</v>
          </cell>
        </row>
        <row r="272">
          <cell r="E272">
            <v>171695.59826999996</v>
          </cell>
          <cell r="F272">
            <v>174504.26883000002</v>
          </cell>
          <cell r="G272">
            <v>179329.09481000004</v>
          </cell>
          <cell r="H272">
            <v>165758.9521752366</v>
          </cell>
          <cell r="I272">
            <v>857441.90858234314</v>
          </cell>
          <cell r="J272">
            <v>1000828.4055716988</v>
          </cell>
          <cell r="K272">
            <v>1104184.1889717672</v>
          </cell>
        </row>
        <row r="274">
          <cell r="E274">
            <v>-4436.4669899999999</v>
          </cell>
          <cell r="F274">
            <v>-4743.0897900000009</v>
          </cell>
          <cell r="G274">
            <v>-3987.63672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7"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9"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3"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6">
          <cell r="E286">
            <v>860.42214000000001</v>
          </cell>
          <cell r="F286">
            <v>915.01275999999996</v>
          </cell>
          <cell r="G286">
            <v>622.04737999999998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90"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3"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6"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300"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5">
          <cell r="E305">
            <v>7591.1532799999986</v>
          </cell>
          <cell r="F305">
            <v>9268.6177900000002</v>
          </cell>
          <cell r="G305">
            <v>8848.9302900000002</v>
          </cell>
          <cell r="H305">
            <v>9333.2697793227835</v>
          </cell>
          <cell r="I305">
            <v>36460.979852847755</v>
          </cell>
          <cell r="J305">
            <v>47995.508957288228</v>
          </cell>
          <cell r="K305">
            <v>55572.954382815893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10">
          <cell r="E310">
            <v>458.97354000000001</v>
          </cell>
          <cell r="F310">
            <v>472.14759000000004</v>
          </cell>
          <cell r="G310">
            <v>435.33641999999998</v>
          </cell>
          <cell r="H310">
            <v>450</v>
          </cell>
          <cell r="I310">
            <v>1306.3066050148714</v>
          </cell>
          <cell r="J310">
            <v>1128.2293273937964</v>
          </cell>
          <cell r="K310">
            <v>965.60167659829426</v>
          </cell>
        </row>
        <row r="313">
          <cell r="E313">
            <v>2470.5548699999999</v>
          </cell>
          <cell r="F313">
            <v>2480.9695099999999</v>
          </cell>
          <cell r="G313">
            <v>2502.9392200000002</v>
          </cell>
          <cell r="H313">
            <v>5126.953587544007</v>
          </cell>
          <cell r="I313">
            <v>23027.748310018829</v>
          </cell>
          <cell r="J313">
            <v>30218.167668050261</v>
          </cell>
          <cell r="K313">
            <v>34907.754132015798</v>
          </cell>
        </row>
        <row r="323">
          <cell r="E323">
            <v>18866.614230000003</v>
          </cell>
          <cell r="F323">
            <v>21540.155239999993</v>
          </cell>
          <cell r="G323">
            <v>22498.558930000003</v>
          </cell>
          <cell r="H323">
            <v>21260.438536013029</v>
          </cell>
          <cell r="I323">
            <v>86941.320935023265</v>
          </cell>
          <cell r="J323">
            <v>93155.155356299452</v>
          </cell>
          <cell r="K323">
            <v>101059.10059150998</v>
          </cell>
        </row>
        <row r="324">
          <cell r="E324">
            <v>-1276.5901999999996</v>
          </cell>
          <cell r="F324">
            <v>-1380.0024700000031</v>
          </cell>
          <cell r="G324">
            <v>-1654.449729999996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4">
          <cell r="E334">
            <v>643.95665000000008</v>
          </cell>
          <cell r="F334">
            <v>765.48782000000006</v>
          </cell>
          <cell r="G334">
            <v>732.24105000000009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40">
          <cell r="E340">
            <v>1013.90187</v>
          </cell>
          <cell r="F340">
            <v>1145.36832</v>
          </cell>
          <cell r="G340">
            <v>1369.8751500000001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E351">
            <v>14070.640370000001</v>
          </cell>
          <cell r="F351">
            <v>14834.253060000003</v>
          </cell>
          <cell r="G351">
            <v>16287.927249999999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E358">
            <v>18038.871700000003</v>
          </cell>
          <cell r="F358">
            <v>18295.894120000001</v>
          </cell>
          <cell r="G358">
            <v>18630.224470000001</v>
          </cell>
          <cell r="H358">
            <v>33209.560261608094</v>
          </cell>
          <cell r="I358">
            <v>118500.67137906373</v>
          </cell>
          <cell r="J358">
            <v>118266.24469115173</v>
          </cell>
          <cell r="K358">
            <v>122248.15818527201</v>
          </cell>
        </row>
        <row r="360">
          <cell r="E360">
            <v>736.82560999999998</v>
          </cell>
          <cell r="F360">
            <v>757.00097000000005</v>
          </cell>
          <cell r="G360">
            <v>1010.09935</v>
          </cell>
          <cell r="H360">
            <v>808.66902000000005</v>
          </cell>
          <cell r="I360">
            <v>3455.4065696870484</v>
          </cell>
          <cell r="J360">
            <v>4479.2001180741454</v>
          </cell>
          <cell r="K360">
            <v>5200.1936664612422</v>
          </cell>
        </row>
        <row r="367">
          <cell r="E367">
            <v>-3610.4483599999994</v>
          </cell>
          <cell r="F367">
            <v>18865.097969999999</v>
          </cell>
          <cell r="G367">
            <v>-13330.120370000002</v>
          </cell>
          <cell r="H367">
            <v>-1126.4253263119328</v>
          </cell>
          <cell r="I367">
            <v>384.86377798510341</v>
          </cell>
          <cell r="J367">
            <v>2905.9336883213596</v>
          </cell>
          <cell r="K367">
            <v>10591.70404321696</v>
          </cell>
        </row>
        <row r="376">
          <cell r="E376">
            <v>506.87679000000003</v>
          </cell>
          <cell r="F376">
            <v>517.18716999999992</v>
          </cell>
          <cell r="G376">
            <v>535.08392000000003</v>
          </cell>
          <cell r="H376">
            <v>-1129.1956602367964</v>
          </cell>
          <cell r="I376">
            <v>-4522.0496037789726</v>
          </cell>
          <cell r="J376">
            <v>-4993.5037761296371</v>
          </cell>
          <cell r="K376">
            <v>-5675.2081214976552</v>
          </cell>
        </row>
        <row r="382">
          <cell r="E382">
            <v>-10257.266230000001</v>
          </cell>
          <cell r="F382">
            <v>-8545.2829000000002</v>
          </cell>
          <cell r="G382">
            <v>-8585.8154400000003</v>
          </cell>
          <cell r="H382">
            <v>-8145.8679518786539</v>
          </cell>
          <cell r="I382">
            <v>-31124.238652775988</v>
          </cell>
          <cell r="J382">
            <v>-32369.758881943413</v>
          </cell>
          <cell r="K382">
            <v>-33554.559454648741</v>
          </cell>
        </row>
        <row r="384">
          <cell r="E384">
            <v>669.84900000000187</v>
          </cell>
          <cell r="F384">
            <v>3311.3873200000039</v>
          </cell>
          <cell r="G384">
            <v>1714.7802100000042</v>
          </cell>
          <cell r="H384">
            <v>615.72694999999999</v>
          </cell>
          <cell r="I384">
            <v>2456.1158</v>
          </cell>
          <cell r="J384">
            <v>2456.1158</v>
          </cell>
          <cell r="K384">
            <v>2456.1158</v>
          </cell>
        </row>
        <row r="386">
          <cell r="E386">
            <v>-121228.90622548311</v>
          </cell>
          <cell r="F386">
            <v>-119345.95376775233</v>
          </cell>
          <cell r="G386">
            <v>-139257.52464568193</v>
          </cell>
          <cell r="H386">
            <v>-182842.35121862902</v>
          </cell>
          <cell r="I386">
            <v>-561534.85631708801</v>
          </cell>
          <cell r="J386">
            <v>-567289.44626579934</v>
          </cell>
          <cell r="K386">
            <v>-565077.07185750199</v>
          </cell>
        </row>
        <row r="387">
          <cell r="E387">
            <v>-150956.30530417472</v>
          </cell>
          <cell r="F387">
            <v>-156269.73010199342</v>
          </cell>
          <cell r="G387">
            <v>-119964.15440113607</v>
          </cell>
          <cell r="H387">
            <v>-145770.87202407635</v>
          </cell>
          <cell r="I387">
            <v>-584216.24628323026</v>
          </cell>
          <cell r="J387">
            <v>-583089.1463697484</v>
          </cell>
          <cell r="K387">
            <v>-580383.43461678573</v>
          </cell>
        </row>
        <row r="388">
          <cell r="E388">
            <v>-31351.769668875753</v>
          </cell>
          <cell r="F388">
            <v>-40943.922982004908</v>
          </cell>
          <cell r="G388">
            <v>-60224.123887645706</v>
          </cell>
          <cell r="H388">
            <v>-48430.271184457139</v>
          </cell>
          <cell r="I388">
            <v>-182441.71435465492</v>
          </cell>
          <cell r="J388">
            <v>-168086.07609345633</v>
          </cell>
          <cell r="K388">
            <v>-158338.96312103525</v>
          </cell>
        </row>
        <row r="390">
          <cell r="E390">
            <v>-17565.001949999998</v>
          </cell>
          <cell r="F390">
            <v>-16401.651720000002</v>
          </cell>
          <cell r="G390">
            <v>-19243.482629999995</v>
          </cell>
          <cell r="H390">
            <v>-18556.252010037439</v>
          </cell>
          <cell r="I390">
            <v>-79776.350000000006</v>
          </cell>
          <cell r="J390">
            <v>-95080.387000000002</v>
          </cell>
          <cell r="K390">
            <v>-110367.98333333334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E392">
            <v>2006.9947100000018</v>
          </cell>
          <cell r="F392">
            <v>3464.6092399999993</v>
          </cell>
          <cell r="G392">
            <v>436.85000000000014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5"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7">
          <cell r="E397">
            <v>-3252.6593600000001</v>
          </cell>
          <cell r="F397">
            <v>-2783.8757700000001</v>
          </cell>
          <cell r="G397">
            <v>-2333.5206499999999</v>
          </cell>
          <cell r="H397">
            <v>-3016.8359050000004</v>
          </cell>
          <cell r="I397">
            <v>-2949.0075741322312</v>
          </cell>
          <cell r="J397">
            <v>-841.00451999999973</v>
          </cell>
          <cell r="K397">
            <v>-488.02506999999997</v>
          </cell>
        </row>
        <row r="398"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400">
          <cell r="E400">
            <v>36397.357741486761</v>
          </cell>
          <cell r="F400">
            <v>27783.255801112733</v>
          </cell>
          <cell r="G400">
            <v>39808.980023062293</v>
          </cell>
          <cell r="H400">
            <v>60447.251826321401</v>
          </cell>
          <cell r="I400">
            <v>111146.56465224312</v>
          </cell>
          <cell r="J400">
            <v>52948.036181545955</v>
          </cell>
          <cell r="K400">
            <v>6178.9781132274429</v>
          </cell>
        </row>
      </sheetData>
      <sheetData sheetId="13">
        <row r="272"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</sheetData>
      <sheetData sheetId="14">
        <row r="10">
          <cell r="AN10">
            <v>0</v>
          </cell>
          <cell r="AO10">
            <v>0</v>
          </cell>
          <cell r="AP10">
            <v>0</v>
          </cell>
          <cell r="AQ10">
            <v>0</v>
          </cell>
        </row>
        <row r="12">
          <cell r="AN12">
            <v>0</v>
          </cell>
          <cell r="AO12">
            <v>0</v>
          </cell>
          <cell r="AP12">
            <v>0</v>
          </cell>
          <cell r="AQ12">
            <v>0</v>
          </cell>
        </row>
        <row r="13">
          <cell r="AN13">
            <v>0</v>
          </cell>
          <cell r="AO13">
            <v>0</v>
          </cell>
          <cell r="AP13">
            <v>0</v>
          </cell>
          <cell r="AQ13">
            <v>0</v>
          </cell>
        </row>
        <row r="15">
          <cell r="AN15">
            <v>0</v>
          </cell>
          <cell r="AO15">
            <v>0</v>
          </cell>
          <cell r="AP15">
            <v>0</v>
          </cell>
          <cell r="AQ15">
            <v>0</v>
          </cell>
        </row>
        <row r="31">
          <cell r="AN31">
            <v>6464011.0922426553</v>
          </cell>
          <cell r="AO31">
            <v>6561473.2117482405</v>
          </cell>
          <cell r="AP31">
            <v>6613607.0634682011</v>
          </cell>
          <cell r="AQ31">
            <v>6678344.4557290524</v>
          </cell>
          <cell r="AV31">
            <v>5251355.8907198058</v>
          </cell>
          <cell r="AW31">
            <v>5229022.8181990851</v>
          </cell>
          <cell r="AX31">
            <v>5295404.0239935862</v>
          </cell>
          <cell r="AY31">
            <v>5347202.890287797</v>
          </cell>
        </row>
        <row r="32">
          <cell r="AN32">
            <v>8953590.7591931652</v>
          </cell>
          <cell r="AO32">
            <v>8316047.9631589185</v>
          </cell>
          <cell r="AP32">
            <v>7756208.8080091914</v>
          </cell>
          <cell r="AQ32">
            <v>7111279.6447151126</v>
          </cell>
          <cell r="AV32">
            <v>9204931.3078965824</v>
          </cell>
          <cell r="AW32">
            <v>8467448.9726533741</v>
          </cell>
          <cell r="AX32">
            <v>7939422.7720984202</v>
          </cell>
          <cell r="AY32">
            <v>7360327.3076634565</v>
          </cell>
        </row>
        <row r="33"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V33">
            <v>1226096.2284800003</v>
          </cell>
          <cell r="AW33">
            <v>1237785.6544700004</v>
          </cell>
          <cell r="AX33">
            <v>1231940.9414750002</v>
          </cell>
          <cell r="AY33">
            <v>1234863.2979725003</v>
          </cell>
        </row>
        <row r="41"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</row>
        <row r="46">
          <cell r="AN46">
            <v>6127904.0505612977</v>
          </cell>
          <cell r="AO46">
            <v>7608026.2454618709</v>
          </cell>
          <cell r="AP46">
            <v>9473667.6347524971</v>
          </cell>
          <cell r="AQ46">
            <v>11307698.101002142</v>
          </cell>
          <cell r="AV46">
            <v>6150557.6388827143</v>
          </cell>
          <cell r="AW46">
            <v>7031907.1482596714</v>
          </cell>
          <cell r="AX46">
            <v>8588713.4956777766</v>
          </cell>
          <cell r="AY46">
            <v>10390601.130791297</v>
          </cell>
        </row>
        <row r="47"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</row>
        <row r="48"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</row>
        <row r="52"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</row>
        <row r="53"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</row>
        <row r="54"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</row>
        <row r="56"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</row>
        <row r="58"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</row>
        <row r="60">
          <cell r="AN60">
            <v>0</v>
          </cell>
          <cell r="AO60">
            <v>0</v>
          </cell>
          <cell r="AP60">
            <v>0</v>
          </cell>
          <cell r="AQ60">
            <v>0</v>
          </cell>
        </row>
        <row r="62">
          <cell r="AN62">
            <v>0</v>
          </cell>
          <cell r="AO62">
            <v>0</v>
          </cell>
          <cell r="AP62">
            <v>0</v>
          </cell>
          <cell r="AQ62">
            <v>0</v>
          </cell>
        </row>
        <row r="64">
          <cell r="AN64">
            <v>0</v>
          </cell>
          <cell r="AO64">
            <v>0</v>
          </cell>
          <cell r="AP64">
            <v>0</v>
          </cell>
          <cell r="AQ64">
            <v>0</v>
          </cell>
        </row>
        <row r="67">
          <cell r="AN67">
            <v>0</v>
          </cell>
          <cell r="AO67">
            <v>0</v>
          </cell>
          <cell r="AP67">
            <v>0</v>
          </cell>
          <cell r="AQ67">
            <v>0</v>
          </cell>
        </row>
        <row r="74">
          <cell r="AN74">
            <v>0</v>
          </cell>
          <cell r="AO74">
            <v>0</v>
          </cell>
          <cell r="AP74">
            <v>0</v>
          </cell>
          <cell r="AQ74">
            <v>0</v>
          </cell>
        </row>
        <row r="75">
          <cell r="AN75">
            <v>0</v>
          </cell>
          <cell r="AO75">
            <v>0</v>
          </cell>
          <cell r="AP75">
            <v>0</v>
          </cell>
          <cell r="AQ75">
            <v>0</v>
          </cell>
        </row>
        <row r="77">
          <cell r="AN77">
            <v>0</v>
          </cell>
          <cell r="AO77">
            <v>0</v>
          </cell>
          <cell r="AP77">
            <v>0</v>
          </cell>
          <cell r="AQ77">
            <v>0</v>
          </cell>
        </row>
        <row r="88">
          <cell r="AN88">
            <v>0</v>
          </cell>
          <cell r="AO88">
            <v>0</v>
          </cell>
          <cell r="AP88">
            <v>0</v>
          </cell>
          <cell r="AQ88">
            <v>0</v>
          </cell>
        </row>
        <row r="90">
          <cell r="AN90">
            <v>-204462.51327003085</v>
          </cell>
          <cell r="AO90">
            <v>-208516.81448403205</v>
          </cell>
          <cell r="AP90">
            <v>-214608.40999792286</v>
          </cell>
          <cell r="AQ90">
            <v>-228421.19215463506</v>
          </cell>
        </row>
        <row r="98">
          <cell r="AN98">
            <v>55.157900000000012</v>
          </cell>
          <cell r="AO98">
            <v>56.191160000000004</v>
          </cell>
          <cell r="AP98">
            <v>56.191160000000004</v>
          </cell>
          <cell r="AQ98">
            <v>56.191160000000004</v>
          </cell>
        </row>
        <row r="99">
          <cell r="AN99">
            <v>0</v>
          </cell>
          <cell r="AO99">
            <v>0</v>
          </cell>
          <cell r="AP99">
            <v>0</v>
          </cell>
          <cell r="AQ99">
            <v>0</v>
          </cell>
        </row>
        <row r="100">
          <cell r="AN100">
            <v>13262.66624</v>
          </cell>
          <cell r="AO100">
            <v>13262.66624</v>
          </cell>
          <cell r="AP100">
            <v>13262.66624</v>
          </cell>
          <cell r="AQ100">
            <v>13262.66624</v>
          </cell>
        </row>
        <row r="102">
          <cell r="AN102">
            <v>0</v>
          </cell>
          <cell r="AO102">
            <v>0</v>
          </cell>
          <cell r="AP102">
            <v>0</v>
          </cell>
          <cell r="AQ102">
            <v>0</v>
          </cell>
        </row>
        <row r="103">
          <cell r="AN103">
            <v>0</v>
          </cell>
          <cell r="AO103">
            <v>0</v>
          </cell>
          <cell r="AP103">
            <v>0</v>
          </cell>
          <cell r="AQ103">
            <v>0</v>
          </cell>
        </row>
        <row r="104">
          <cell r="AN104">
            <v>0</v>
          </cell>
          <cell r="AO104">
            <v>0</v>
          </cell>
          <cell r="AP104">
            <v>0</v>
          </cell>
          <cell r="AQ104">
            <v>0</v>
          </cell>
        </row>
        <row r="108">
          <cell r="AN108">
            <v>81281.84629999999</v>
          </cell>
          <cell r="AO108">
            <v>81281.84629999999</v>
          </cell>
          <cell r="AP108">
            <v>81281.84629999999</v>
          </cell>
          <cell r="AQ108">
            <v>81281.84629999999</v>
          </cell>
        </row>
        <row r="111">
          <cell r="AN111">
            <v>0</v>
          </cell>
          <cell r="AO111">
            <v>0</v>
          </cell>
          <cell r="AP111">
            <v>0</v>
          </cell>
          <cell r="AQ111">
            <v>0</v>
          </cell>
        </row>
        <row r="113">
          <cell r="AN113">
            <v>0</v>
          </cell>
          <cell r="AO113">
            <v>0</v>
          </cell>
          <cell r="AP113">
            <v>0</v>
          </cell>
          <cell r="AQ113">
            <v>0</v>
          </cell>
        </row>
        <row r="114">
          <cell r="AN114">
            <v>0</v>
          </cell>
          <cell r="AO114">
            <v>0</v>
          </cell>
          <cell r="AP114">
            <v>0</v>
          </cell>
          <cell r="AQ114">
            <v>0</v>
          </cell>
        </row>
        <row r="116">
          <cell r="AN116">
            <v>-2093784.9131819012</v>
          </cell>
          <cell r="AO116">
            <v>-2161406.4323871452</v>
          </cell>
          <cell r="AP116">
            <v>-2360801.1602713531</v>
          </cell>
          <cell r="AQ116">
            <v>-2745637.8911180431</v>
          </cell>
        </row>
        <row r="117">
          <cell r="AN117">
            <v>-1733592.4242744679</v>
          </cell>
          <cell r="AO117">
            <v>-2140845.5237110094</v>
          </cell>
          <cell r="AP117">
            <v>-2572819.048490182</v>
          </cell>
          <cell r="AQ117">
            <v>-3092552.2752230517</v>
          </cell>
        </row>
        <row r="118">
          <cell r="AN118">
            <v>0</v>
          </cell>
          <cell r="AO118">
            <v>0</v>
          </cell>
          <cell r="AP118">
            <v>0</v>
          </cell>
          <cell r="AQ118">
            <v>0</v>
          </cell>
        </row>
        <row r="119">
          <cell r="AN119">
            <v>-1797.6582902163336</v>
          </cell>
          <cell r="AO119">
            <v>-1838.5600727164174</v>
          </cell>
          <cell r="AP119">
            <v>-1838.5600727164174</v>
          </cell>
          <cell r="AQ119">
            <v>-1838.5600727164174</v>
          </cell>
        </row>
        <row r="125">
          <cell r="AN125">
            <v>-581624.42491240962</v>
          </cell>
          <cell r="AO125">
            <v>-733669.47374656971</v>
          </cell>
          <cell r="AP125">
            <v>-733554.45961572998</v>
          </cell>
          <cell r="AQ125">
            <v>-747858.47202209826</v>
          </cell>
        </row>
        <row r="272">
          <cell r="E272">
            <v>99768.891649999961</v>
          </cell>
          <cell r="F272">
            <v>103876.05991000005</v>
          </cell>
          <cell r="G272">
            <v>114287.74834000001</v>
          </cell>
          <cell r="H272">
            <v>109851.28053660541</v>
          </cell>
          <cell r="I272">
            <v>475520.92930466484</v>
          </cell>
          <cell r="J272">
            <v>521783.16446077527</v>
          </cell>
          <cell r="K272">
            <v>577180.75366585073</v>
          </cell>
        </row>
        <row r="274">
          <cell r="E274">
            <v>5466.3283000000001</v>
          </cell>
          <cell r="F274">
            <v>8535.587419999998</v>
          </cell>
          <cell r="G274">
            <v>-2562.2953099999995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7"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9"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3"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6"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90"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3"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6"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300"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5"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23">
          <cell r="E323">
            <v>211.02126999999999</v>
          </cell>
          <cell r="F323">
            <v>240.67527999999999</v>
          </cell>
          <cell r="G323">
            <v>257.25598000000002</v>
          </cell>
          <cell r="H323">
            <v>0</v>
          </cell>
          <cell r="I323">
            <v>2009.3220719685009</v>
          </cell>
          <cell r="J323">
            <v>5292.7993648135534</v>
          </cell>
          <cell r="K323">
            <v>9470</v>
          </cell>
        </row>
        <row r="324">
          <cell r="E324">
            <v>-61.123279999999738</v>
          </cell>
          <cell r="F324">
            <v>-59.831309999999291</v>
          </cell>
          <cell r="G324">
            <v>2.2535200000016111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30">
          <cell r="E330">
            <v>4897.6161699999993</v>
          </cell>
          <cell r="F330">
            <v>4202.8130800000008</v>
          </cell>
          <cell r="G330">
            <v>5401.2636199999997</v>
          </cell>
          <cell r="H330">
            <v>6343.1891854681608</v>
          </cell>
          <cell r="I330">
            <v>26302.03472898397</v>
          </cell>
          <cell r="J330">
            <v>29191.481897433223</v>
          </cell>
          <cell r="K330">
            <v>32839.641384578383</v>
          </cell>
        </row>
        <row r="334">
          <cell r="E334">
            <v>111.73529000000002</v>
          </cell>
          <cell r="F334">
            <v>319.30304999999998</v>
          </cell>
          <cell r="G334">
            <v>160.58024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50">
          <cell r="E350">
            <v>1637.33457</v>
          </cell>
          <cell r="F350">
            <v>1600.79007</v>
          </cell>
          <cell r="G350">
            <v>1883.2932900000001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E351">
            <v>67.484999999999999</v>
          </cell>
          <cell r="F351">
            <v>51.160000000000004</v>
          </cell>
          <cell r="G351">
            <v>39.339999999999996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60">
          <cell r="E360">
            <v>5402.1178099999997</v>
          </cell>
          <cell r="F360">
            <v>5155.8689000000004</v>
          </cell>
          <cell r="G360">
            <v>4900.5282400000006</v>
          </cell>
          <cell r="H360">
            <v>5060.8667270835058</v>
          </cell>
          <cell r="I360">
            <v>21191.610384603144</v>
          </cell>
          <cell r="J360">
            <v>22064.234532756444</v>
          </cell>
          <cell r="K360">
            <v>23173.561413500956</v>
          </cell>
        </row>
        <row r="367">
          <cell r="E367">
            <v>-102.42805</v>
          </cell>
          <cell r="F367">
            <v>-129.12419</v>
          </cell>
          <cell r="G367">
            <v>-244.16947999999999</v>
          </cell>
          <cell r="H367">
            <v>0</v>
          </cell>
          <cell r="I367">
            <v>199.99999999999997</v>
          </cell>
          <cell r="J367">
            <v>10250</v>
          </cell>
          <cell r="K367">
            <v>11250</v>
          </cell>
        </row>
        <row r="376">
          <cell r="E376">
            <v>1172.1093100000001</v>
          </cell>
          <cell r="F376">
            <v>1516.28433</v>
          </cell>
          <cell r="G376">
            <v>1316.88608</v>
          </cell>
          <cell r="H376">
            <v>1760.2882664993192</v>
          </cell>
          <cell r="I376">
            <v>6374.8199078483267</v>
          </cell>
          <cell r="J376">
            <v>6718.077768440744</v>
          </cell>
          <cell r="K376">
            <v>7102.3118492867798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4">
          <cell r="E384">
            <v>-970.75932000000057</v>
          </cell>
          <cell r="F384">
            <v>-409.99149000000011</v>
          </cell>
          <cell r="G384">
            <v>1310.0984600000043</v>
          </cell>
          <cell r="H384">
            <v>-1071.6078062023439</v>
          </cell>
          <cell r="I384">
            <v>-4429.9816534057109</v>
          </cell>
          <cell r="J384">
            <v>-4804.2664165856459</v>
          </cell>
          <cell r="K384">
            <v>-5312.9910133832291</v>
          </cell>
        </row>
        <row r="386">
          <cell r="E386">
            <v>-27141.897469831456</v>
          </cell>
          <cell r="F386">
            <v>-26920.58892140563</v>
          </cell>
          <cell r="G386">
            <v>-30157.080007407574</v>
          </cell>
          <cell r="H386">
            <v>-26467.815546887221</v>
          </cell>
          <cell r="I386">
            <v>-113112.03392449903</v>
          </cell>
          <cell r="J386">
            <v>-117364.78654744406</v>
          </cell>
          <cell r="K386">
            <v>-120809.68377739719</v>
          </cell>
        </row>
        <row r="387">
          <cell r="E387">
            <v>-17079.240009049678</v>
          </cell>
          <cell r="F387">
            <v>-19388.275033887538</v>
          </cell>
          <cell r="G387">
            <v>-6591.7128126135685</v>
          </cell>
          <cell r="H387">
            <v>-12899.152510934446</v>
          </cell>
          <cell r="I387">
            <v>-59766.726852400796</v>
          </cell>
          <cell r="J387">
            <v>-56961.166985890595</v>
          </cell>
          <cell r="K387">
            <v>-55091.305744433579</v>
          </cell>
        </row>
        <row r="388">
          <cell r="E388">
            <v>503.09156432856685</v>
          </cell>
          <cell r="F388">
            <v>411.01676288317447</v>
          </cell>
          <cell r="G388">
            <v>-5779.4613806695015</v>
          </cell>
          <cell r="H388">
            <v>-7521.0900717843988</v>
          </cell>
          <cell r="I388">
            <v>-11484.284526147307</v>
          </cell>
          <cell r="J388">
            <v>-9771.3349980082567</v>
          </cell>
          <cell r="K388">
            <v>-9857.5644047622191</v>
          </cell>
        </row>
        <row r="390">
          <cell r="E390">
            <v>12696.204060000002</v>
          </cell>
          <cell r="F390">
            <v>-411.89567000000125</v>
          </cell>
          <cell r="G390">
            <v>25598.162989999997</v>
          </cell>
          <cell r="H390">
            <v>-11260.011960066244</v>
          </cell>
          <cell r="I390">
            <v>-47475.628401575043</v>
          </cell>
          <cell r="J390">
            <v>-48859.63986996952</v>
          </cell>
          <cell r="K390">
            <v>-48763.451209094164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E392">
            <v>1370.0951999999993</v>
          </cell>
          <cell r="F392">
            <v>-22188.39488</v>
          </cell>
          <cell r="G392">
            <v>-10871.72702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5"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400">
          <cell r="E400">
            <v>-30496.746955406605</v>
          </cell>
          <cell r="F400">
            <v>-19584.861699156503</v>
          </cell>
          <cell r="G400">
            <v>-34463.873225258278</v>
          </cell>
          <cell r="H400">
            <v>-22310.648892137317</v>
          </cell>
          <cell r="I400">
            <v>-103296.30341490099</v>
          </cell>
          <cell r="J400">
            <v>-125069.90059867312</v>
          </cell>
          <cell r="K400">
            <v>-147345.48880225309</v>
          </cell>
        </row>
      </sheetData>
      <sheetData sheetId="15">
        <row r="10">
          <cell r="AN10">
            <v>0</v>
          </cell>
          <cell r="AO10">
            <v>0</v>
          </cell>
          <cell r="AP10">
            <v>0</v>
          </cell>
          <cell r="AQ10">
            <v>0</v>
          </cell>
        </row>
        <row r="12">
          <cell r="AN12">
            <v>0</v>
          </cell>
          <cell r="AO12">
            <v>0</v>
          </cell>
          <cell r="AP12">
            <v>0</v>
          </cell>
          <cell r="AQ12">
            <v>0</v>
          </cell>
        </row>
        <row r="13">
          <cell r="AN13">
            <v>0</v>
          </cell>
          <cell r="AO13">
            <v>0</v>
          </cell>
          <cell r="AP13">
            <v>0</v>
          </cell>
          <cell r="AQ13">
            <v>0</v>
          </cell>
        </row>
        <row r="15">
          <cell r="AN15">
            <v>0</v>
          </cell>
          <cell r="AO15">
            <v>0</v>
          </cell>
          <cell r="AP15">
            <v>0</v>
          </cell>
          <cell r="AQ15">
            <v>0</v>
          </cell>
        </row>
        <row r="31">
          <cell r="AN31">
            <v>1575347.7141705817</v>
          </cell>
          <cell r="AO31">
            <v>1536429.6394351562</v>
          </cell>
          <cell r="AP31">
            <v>1561322.983243</v>
          </cell>
          <cell r="AQ31">
            <v>1627636.7574042892</v>
          </cell>
          <cell r="AV31">
            <v>1593372.1432125526</v>
          </cell>
          <cell r="AW31">
            <v>1557051.1272094119</v>
          </cell>
          <cell r="AX31">
            <v>1536425.7451732841</v>
          </cell>
          <cell r="AY31">
            <v>1580217.824103049</v>
          </cell>
        </row>
        <row r="32">
          <cell r="AN32">
            <v>103599.27974504809</v>
          </cell>
          <cell r="AO32">
            <v>80524.128464670925</v>
          </cell>
          <cell r="AP32">
            <v>56022.621820993365</v>
          </cell>
          <cell r="AQ32">
            <v>30856.88597597443</v>
          </cell>
          <cell r="AV32">
            <v>106461.02553823056</v>
          </cell>
          <cell r="AW32">
            <v>92007.39807788789</v>
          </cell>
          <cell r="AX32">
            <v>68220.2326055913</v>
          </cell>
          <cell r="AY32">
            <v>43385.170681468458</v>
          </cell>
        </row>
        <row r="33"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</row>
        <row r="41"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</row>
        <row r="46">
          <cell r="AN46">
            <v>4136731.0531330928</v>
          </cell>
          <cell r="AO46">
            <v>4991721.584904789</v>
          </cell>
          <cell r="AP46">
            <v>6174938.0756558664</v>
          </cell>
          <cell r="AQ46">
            <v>7457840.2371203844</v>
          </cell>
          <cell r="AV46">
            <v>4014428.2182568521</v>
          </cell>
          <cell r="AW46">
            <v>4442659.5638832739</v>
          </cell>
          <cell r="AX46">
            <v>5450226.3565008249</v>
          </cell>
          <cell r="AY46">
            <v>6657145.7915578578</v>
          </cell>
        </row>
        <row r="47"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</row>
        <row r="48"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</row>
        <row r="52"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</row>
        <row r="53"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</row>
        <row r="54"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</row>
        <row r="56"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</row>
        <row r="58"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</row>
        <row r="60">
          <cell r="AN60">
            <v>0</v>
          </cell>
          <cell r="AO60">
            <v>0</v>
          </cell>
          <cell r="AP60">
            <v>0</v>
          </cell>
          <cell r="AQ60">
            <v>0</v>
          </cell>
        </row>
        <row r="62">
          <cell r="AN62">
            <v>0</v>
          </cell>
          <cell r="AO62">
            <v>0</v>
          </cell>
          <cell r="AP62">
            <v>0</v>
          </cell>
          <cell r="AQ62">
            <v>0</v>
          </cell>
        </row>
        <row r="64">
          <cell r="AN64">
            <v>0</v>
          </cell>
          <cell r="AO64">
            <v>0</v>
          </cell>
          <cell r="AP64">
            <v>0</v>
          </cell>
          <cell r="AQ64">
            <v>0</v>
          </cell>
        </row>
        <row r="67">
          <cell r="AN67">
            <v>0</v>
          </cell>
          <cell r="AO67">
            <v>0</v>
          </cell>
          <cell r="AP67">
            <v>0</v>
          </cell>
          <cell r="AQ67">
            <v>0</v>
          </cell>
        </row>
        <row r="74">
          <cell r="AN74">
            <v>0</v>
          </cell>
          <cell r="AO74">
            <v>0</v>
          </cell>
          <cell r="AP74">
            <v>0</v>
          </cell>
          <cell r="AQ74">
            <v>0</v>
          </cell>
        </row>
        <row r="75">
          <cell r="AN75">
            <v>0</v>
          </cell>
          <cell r="AO75">
            <v>0</v>
          </cell>
          <cell r="AP75">
            <v>0</v>
          </cell>
          <cell r="AQ75">
            <v>0</v>
          </cell>
        </row>
        <row r="77">
          <cell r="AN77">
            <v>0</v>
          </cell>
          <cell r="AO77">
            <v>0</v>
          </cell>
          <cell r="AP77">
            <v>0</v>
          </cell>
          <cell r="AQ77">
            <v>0</v>
          </cell>
        </row>
        <row r="88">
          <cell r="AN88">
            <v>0</v>
          </cell>
          <cell r="AO88">
            <v>0</v>
          </cell>
          <cell r="AP88">
            <v>0</v>
          </cell>
          <cell r="AQ88">
            <v>0</v>
          </cell>
        </row>
        <row r="90">
          <cell r="AN90">
            <v>-61900.336532150504</v>
          </cell>
          <cell r="AO90">
            <v>-70174.891976761675</v>
          </cell>
          <cell r="AP90">
            <v>-77656.490417135385</v>
          </cell>
          <cell r="AQ90">
            <v>-84885.524448388198</v>
          </cell>
        </row>
        <row r="98">
          <cell r="AN98">
            <v>455.32569000000001</v>
          </cell>
          <cell r="AO98">
            <v>454.29242999999997</v>
          </cell>
          <cell r="AP98">
            <v>454.29242999999997</v>
          </cell>
          <cell r="AQ98">
            <v>454.29242999999997</v>
          </cell>
        </row>
        <row r="99">
          <cell r="AN99">
            <v>0</v>
          </cell>
          <cell r="AO99">
            <v>0</v>
          </cell>
          <cell r="AP99">
            <v>0</v>
          </cell>
          <cell r="AQ99">
            <v>0</v>
          </cell>
        </row>
        <row r="100">
          <cell r="AN100">
            <v>10276.07051</v>
          </cell>
          <cell r="AO100">
            <v>10276.07051</v>
          </cell>
          <cell r="AP100">
            <v>10276.07051</v>
          </cell>
          <cell r="AQ100">
            <v>10276.07051</v>
          </cell>
        </row>
        <row r="102">
          <cell r="AN102">
            <v>0</v>
          </cell>
          <cell r="AO102">
            <v>0</v>
          </cell>
          <cell r="AP102">
            <v>0</v>
          </cell>
          <cell r="AQ102">
            <v>0</v>
          </cell>
        </row>
        <row r="103">
          <cell r="AN103">
            <v>0</v>
          </cell>
          <cell r="AO103">
            <v>0</v>
          </cell>
          <cell r="AP103">
            <v>0</v>
          </cell>
          <cell r="AQ103">
            <v>0</v>
          </cell>
        </row>
        <row r="104">
          <cell r="AN104">
            <v>-1131.587685</v>
          </cell>
          <cell r="AO104">
            <v>360.57449999999994</v>
          </cell>
          <cell r="AP104">
            <v>360.57449999999994</v>
          </cell>
          <cell r="AQ104">
            <v>360.57449999999994</v>
          </cell>
        </row>
        <row r="108">
          <cell r="AN108">
            <v>11123.874700000048</v>
          </cell>
          <cell r="AO108">
            <v>11123.874700000048</v>
          </cell>
          <cell r="AP108">
            <v>11123.874699999988</v>
          </cell>
          <cell r="AQ108">
            <v>11123.8747</v>
          </cell>
        </row>
        <row r="111">
          <cell r="AN111">
            <v>0</v>
          </cell>
          <cell r="AO111">
            <v>0</v>
          </cell>
          <cell r="AP111">
            <v>0</v>
          </cell>
          <cell r="AQ111">
            <v>0</v>
          </cell>
        </row>
        <row r="113">
          <cell r="AN113">
            <v>0</v>
          </cell>
          <cell r="AO113">
            <v>0</v>
          </cell>
          <cell r="AP113">
            <v>0</v>
          </cell>
          <cell r="AQ113">
            <v>0</v>
          </cell>
        </row>
        <row r="114">
          <cell r="AN114">
            <v>0</v>
          </cell>
          <cell r="AO114">
            <v>0</v>
          </cell>
          <cell r="AP114">
            <v>0</v>
          </cell>
          <cell r="AQ114">
            <v>0</v>
          </cell>
        </row>
        <row r="116">
          <cell r="AN116">
            <v>-1271142.699229999</v>
          </cell>
          <cell r="AO116">
            <v>-1245965.6898721571</v>
          </cell>
          <cell r="AP116">
            <v>-1352760.7814583266</v>
          </cell>
          <cell r="AQ116">
            <v>-1513138.4382865799</v>
          </cell>
        </row>
        <row r="117">
          <cell r="AN117">
            <v>-608026.16388968285</v>
          </cell>
          <cell r="AO117">
            <v>-740414.04465904948</v>
          </cell>
          <cell r="AP117">
            <v>-828938.90645162656</v>
          </cell>
          <cell r="AQ117">
            <v>-997313.69133807463</v>
          </cell>
        </row>
        <row r="118">
          <cell r="AN118">
            <v>0</v>
          </cell>
          <cell r="AO118">
            <v>0</v>
          </cell>
          <cell r="AP118">
            <v>0</v>
          </cell>
          <cell r="AQ118">
            <v>0</v>
          </cell>
        </row>
        <row r="119">
          <cell r="AN119">
            <v>-2578.9443364829572</v>
          </cell>
          <cell r="AO119">
            <v>-2250</v>
          </cell>
          <cell r="AP119">
            <v>-2137.5</v>
          </cell>
          <cell r="AQ119">
            <v>-2030.625</v>
          </cell>
        </row>
        <row r="125">
          <cell r="AN125">
            <v>-112253.34281170277</v>
          </cell>
          <cell r="AO125">
            <v>-84245.900329609183</v>
          </cell>
          <cell r="AP125">
            <v>-85024.313405712513</v>
          </cell>
          <cell r="AQ125">
            <v>-87382.976121056854</v>
          </cell>
        </row>
        <row r="272">
          <cell r="E272">
            <v>44198.286570000011</v>
          </cell>
          <cell r="F272">
            <v>45395.243900000009</v>
          </cell>
          <cell r="G272">
            <v>45153.409900000006</v>
          </cell>
          <cell r="H272">
            <v>45212.908500454309</v>
          </cell>
          <cell r="I272">
            <v>187640.78349644574</v>
          </cell>
          <cell r="J272">
            <v>222457.73828768113</v>
          </cell>
          <cell r="K272">
            <v>265058.00569154043</v>
          </cell>
        </row>
        <row r="274">
          <cell r="E274">
            <v>-1587.90111</v>
          </cell>
          <cell r="F274">
            <v>-1500.9579299999998</v>
          </cell>
          <cell r="G274">
            <v>-1376.7394099999999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7"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9"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3"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6"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90"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3"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6"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300"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5"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23">
          <cell r="E323">
            <v>269.23942999999997</v>
          </cell>
          <cell r="F323">
            <v>340.32443000000001</v>
          </cell>
          <cell r="G323">
            <v>388.60192000000006</v>
          </cell>
          <cell r="H323">
            <v>49.715039030639161</v>
          </cell>
          <cell r="I323">
            <v>1527.5156060141333</v>
          </cell>
          <cell r="J323">
            <v>2726.2729418240519</v>
          </cell>
          <cell r="K323">
            <v>4055.7642328878387</v>
          </cell>
        </row>
        <row r="324">
          <cell r="E324">
            <v>-22.124439999999794</v>
          </cell>
          <cell r="F324">
            <v>-9.0619600000001963</v>
          </cell>
          <cell r="G324">
            <v>6.1617100000001734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30">
          <cell r="E330">
            <v>404.87088999999992</v>
          </cell>
          <cell r="F330">
            <v>541.00218999999993</v>
          </cell>
          <cell r="G330">
            <v>448.25491000000005</v>
          </cell>
          <cell r="H330">
            <v>674.47255995433954</v>
          </cell>
          <cell r="I330">
            <v>2797.4486089454285</v>
          </cell>
          <cell r="J330">
            <v>3143.9211780329897</v>
          </cell>
          <cell r="K330">
            <v>3618.7614365727832</v>
          </cell>
        </row>
        <row r="334">
          <cell r="E334">
            <v>5.3239999999999998</v>
          </cell>
          <cell r="F334">
            <v>5.2320000000000002</v>
          </cell>
          <cell r="G334">
            <v>4.569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40">
          <cell r="E340">
            <v>13.37876</v>
          </cell>
          <cell r="F340">
            <v>24.984999999999999</v>
          </cell>
          <cell r="G340">
            <v>21.54616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50">
          <cell r="E350">
            <v>132.67259000000001</v>
          </cell>
          <cell r="F350">
            <v>155.90606000000002</v>
          </cell>
          <cell r="G350">
            <v>130.06644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E351">
            <v>159.62994999999998</v>
          </cell>
          <cell r="F351">
            <v>182.69499999999999</v>
          </cell>
          <cell r="G351">
            <v>160.97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60">
          <cell r="E360">
            <v>2758.0086300000003</v>
          </cell>
          <cell r="F360">
            <v>2609.4761299999996</v>
          </cell>
          <cell r="G360">
            <v>2656.3305300000002</v>
          </cell>
          <cell r="H360">
            <v>2973.0952495556326</v>
          </cell>
          <cell r="I360">
            <v>11473.70658508312</v>
          </cell>
          <cell r="J360">
            <v>11753.846381686184</v>
          </cell>
          <cell r="K360">
            <v>11940.631636455195</v>
          </cell>
        </row>
        <row r="367">
          <cell r="E367">
            <v>-10.07086</v>
          </cell>
          <cell r="F367">
            <v>-33.37426</v>
          </cell>
          <cell r="G367">
            <v>-21.142290000000003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76">
          <cell r="E376">
            <v>217.62957</v>
          </cell>
          <cell r="F376">
            <v>196.70475999999999</v>
          </cell>
          <cell r="G376">
            <v>196.85939000000002</v>
          </cell>
          <cell r="H376">
            <v>406.57919161018754</v>
          </cell>
          <cell r="I376">
            <v>1641.7610127290814</v>
          </cell>
          <cell r="J376">
            <v>1762.9806583109525</v>
          </cell>
          <cell r="K376">
            <v>1923.9724523233911</v>
          </cell>
        </row>
        <row r="382">
          <cell r="E382">
            <v>-591.26141999999993</v>
          </cell>
          <cell r="F382">
            <v>-481.3888</v>
          </cell>
          <cell r="G382">
            <v>-426.32650000000007</v>
          </cell>
          <cell r="H382">
            <v>-456.83143983942341</v>
          </cell>
          <cell r="I382">
            <v>-1885.124188066394</v>
          </cell>
          <cell r="J382">
            <v>-1968.2163981732976</v>
          </cell>
          <cell r="K382">
            <v>-2144.5108194882469</v>
          </cell>
        </row>
        <row r="384">
          <cell r="E384">
            <v>-1861.0938400000002</v>
          </cell>
          <cell r="F384">
            <v>-1650.6884599999998</v>
          </cell>
          <cell r="G384">
            <v>-1863.1550999999999</v>
          </cell>
          <cell r="H384">
            <v>80.900891502395268</v>
          </cell>
          <cell r="I384">
            <v>344.19767995482681</v>
          </cell>
          <cell r="J384">
            <v>381.23051330143215</v>
          </cell>
          <cell r="K384">
            <v>416.20312200294433</v>
          </cell>
        </row>
        <row r="386">
          <cell r="E386">
            <v>-15116.746756638324</v>
          </cell>
          <cell r="F386">
            <v>-14949.358428320738</v>
          </cell>
          <cell r="G386">
            <v>-15672.023580402874</v>
          </cell>
          <cell r="H386">
            <v>-16577.267297083326</v>
          </cell>
          <cell r="I386">
            <v>-60982.659323226129</v>
          </cell>
          <cell r="J386">
            <v>-63080.826604820242</v>
          </cell>
          <cell r="K386">
            <v>-63757.450165728333</v>
          </cell>
        </row>
        <row r="387">
          <cell r="E387">
            <v>-7766.0862660026269</v>
          </cell>
          <cell r="F387">
            <v>-8386.3410546389641</v>
          </cell>
          <cell r="G387">
            <v>-3870.7268307954305</v>
          </cell>
          <cell r="H387">
            <v>-12060.923593158375</v>
          </cell>
          <cell r="I387">
            <v>-38721.750758937822</v>
          </cell>
          <cell r="J387">
            <v>-39899.054317682116</v>
          </cell>
          <cell r="K387">
            <v>-41298.761031732603</v>
          </cell>
        </row>
        <row r="388">
          <cell r="E388">
            <v>-500.68167291207533</v>
          </cell>
          <cell r="F388">
            <v>-656.90112557175235</v>
          </cell>
          <cell r="G388">
            <v>-2838.3638147960123</v>
          </cell>
          <cell r="H388">
            <v>-3045.4962595901857</v>
          </cell>
          <cell r="I388">
            <v>-6399.9991157597669</v>
          </cell>
          <cell r="J388">
            <v>-5651.1472137489236</v>
          </cell>
          <cell r="K388">
            <v>-5571.7995007178815</v>
          </cell>
        </row>
        <row r="390">
          <cell r="E390">
            <v>-2364.3677299999999</v>
          </cell>
          <cell r="F390">
            <v>-1900.6578</v>
          </cell>
          <cell r="G390">
            <v>1700.2514799999994</v>
          </cell>
          <cell r="H390">
            <v>-5517.4136224085723</v>
          </cell>
          <cell r="I390">
            <v>-29661.739826813457</v>
          </cell>
          <cell r="J390">
            <v>-33516.419503072044</v>
          </cell>
          <cell r="K390">
            <v>-36102.573045986894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E392">
            <v>80.489260000000286</v>
          </cell>
          <cell r="F392">
            <v>-1475.4746700000003</v>
          </cell>
          <cell r="G392">
            <v>-7645.9182299999984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5"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7">
          <cell r="E397">
            <v>-22.62856</v>
          </cell>
          <cell r="F397">
            <v>-21.68571</v>
          </cell>
          <cell r="G397">
            <v>-21.68571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400">
          <cell r="E400">
            <v>-6438.7974930564415</v>
          </cell>
          <cell r="F400">
            <v>-6434.9873705139926</v>
          </cell>
          <cell r="G400">
            <v>-5995.8286759019884</v>
          </cell>
          <cell r="H400">
            <v>-4101.5800796612757</v>
          </cell>
          <cell r="I400">
            <v>-23692.660676502215</v>
          </cell>
          <cell r="J400">
            <v>-34310.579794424215</v>
          </cell>
          <cell r="K400">
            <v>-48320.612709576599</v>
          </cell>
        </row>
      </sheetData>
      <sheetData sheetId="16">
        <row r="10">
          <cell r="AN10">
            <v>0</v>
          </cell>
          <cell r="AO10">
            <v>0</v>
          </cell>
          <cell r="AP10">
            <v>0</v>
          </cell>
          <cell r="AQ10">
            <v>0</v>
          </cell>
        </row>
        <row r="12">
          <cell r="AN12">
            <v>0</v>
          </cell>
          <cell r="AO12">
            <v>0</v>
          </cell>
          <cell r="AP12">
            <v>0</v>
          </cell>
          <cell r="AQ12">
            <v>0</v>
          </cell>
        </row>
        <row r="13">
          <cell r="AN13">
            <v>0</v>
          </cell>
          <cell r="AO13">
            <v>0</v>
          </cell>
          <cell r="AP13">
            <v>0</v>
          </cell>
          <cell r="AQ13">
            <v>0</v>
          </cell>
        </row>
        <row r="15">
          <cell r="AN15">
            <v>0</v>
          </cell>
          <cell r="AO15">
            <v>0</v>
          </cell>
          <cell r="AP15">
            <v>0</v>
          </cell>
          <cell r="AQ15">
            <v>0</v>
          </cell>
        </row>
        <row r="31">
          <cell r="AN31">
            <v>227026.00991461874</v>
          </cell>
          <cell r="AO31">
            <v>236418.74724999996</v>
          </cell>
          <cell r="AP31">
            <v>281428.98873166664</v>
          </cell>
          <cell r="AQ31">
            <v>337633.15190709993</v>
          </cell>
          <cell r="AV31">
            <v>237777.93094730939</v>
          </cell>
          <cell r="AW31">
            <v>231720.09624254316</v>
          </cell>
          <cell r="AX31">
            <v>259021.49294381868</v>
          </cell>
          <cell r="AY31">
            <v>309652.97432627075</v>
          </cell>
        </row>
        <row r="32">
          <cell r="AN32">
            <v>27835.215134112925</v>
          </cell>
          <cell r="AO32">
            <v>22795.911501099166</v>
          </cell>
          <cell r="AP32">
            <v>21532.71411605884</v>
          </cell>
          <cell r="AQ32">
            <v>20915.952225737674</v>
          </cell>
          <cell r="AV32">
            <v>28774.300527056461</v>
          </cell>
          <cell r="AW32">
            <v>23246.92650590148</v>
          </cell>
          <cell r="AX32">
            <v>22161.572996899122</v>
          </cell>
          <cell r="AY32">
            <v>21222.995445337066</v>
          </cell>
        </row>
        <row r="33"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</row>
        <row r="41"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</row>
        <row r="46">
          <cell r="AN46">
            <v>618739.57986954844</v>
          </cell>
          <cell r="AO46">
            <v>648196.13577076735</v>
          </cell>
          <cell r="AP46">
            <v>720022.45510206942</v>
          </cell>
          <cell r="AQ46">
            <v>809332.3431857751</v>
          </cell>
          <cell r="AV46">
            <v>612058.00886477425</v>
          </cell>
          <cell r="AW46">
            <v>635055.64006972779</v>
          </cell>
          <cell r="AX46">
            <v>684141.74727988499</v>
          </cell>
          <cell r="AY46">
            <v>764637.0839971751</v>
          </cell>
        </row>
        <row r="47"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</row>
        <row r="48"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</row>
        <row r="52"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</row>
        <row r="53"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</row>
        <row r="54"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</row>
        <row r="56"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</row>
        <row r="58"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</row>
        <row r="60">
          <cell r="AN60">
            <v>0</v>
          </cell>
          <cell r="AO60">
            <v>0</v>
          </cell>
          <cell r="AP60">
            <v>0</v>
          </cell>
          <cell r="AQ60">
            <v>0</v>
          </cell>
        </row>
        <row r="62">
          <cell r="AN62">
            <v>0</v>
          </cell>
          <cell r="AO62">
            <v>0</v>
          </cell>
          <cell r="AP62">
            <v>0</v>
          </cell>
          <cell r="AQ62">
            <v>0</v>
          </cell>
        </row>
        <row r="64">
          <cell r="AN64">
            <v>0</v>
          </cell>
          <cell r="AO64">
            <v>0</v>
          </cell>
          <cell r="AP64">
            <v>0</v>
          </cell>
          <cell r="AQ64">
            <v>0</v>
          </cell>
        </row>
        <row r="67">
          <cell r="AN67">
            <v>0</v>
          </cell>
          <cell r="AO67">
            <v>0</v>
          </cell>
          <cell r="AP67">
            <v>0</v>
          </cell>
          <cell r="AQ67">
            <v>0</v>
          </cell>
        </row>
        <row r="74">
          <cell r="AN74">
            <v>0</v>
          </cell>
          <cell r="AO74">
            <v>0</v>
          </cell>
          <cell r="AP74">
            <v>0</v>
          </cell>
          <cell r="AQ74">
            <v>0</v>
          </cell>
        </row>
        <row r="75">
          <cell r="AN75">
            <v>0</v>
          </cell>
          <cell r="AO75">
            <v>0</v>
          </cell>
          <cell r="AP75">
            <v>0</v>
          </cell>
          <cell r="AQ75">
            <v>0</v>
          </cell>
        </row>
        <row r="77">
          <cell r="AN77">
            <v>0</v>
          </cell>
          <cell r="AO77">
            <v>0</v>
          </cell>
          <cell r="AP77">
            <v>0</v>
          </cell>
          <cell r="AQ77">
            <v>0</v>
          </cell>
        </row>
        <row r="88">
          <cell r="AN88">
            <v>0</v>
          </cell>
          <cell r="AO88">
            <v>0</v>
          </cell>
          <cell r="AP88">
            <v>0</v>
          </cell>
          <cell r="AQ88">
            <v>0</v>
          </cell>
        </row>
        <row r="90">
          <cell r="AN90">
            <v>-28142.519428932992</v>
          </cell>
          <cell r="AO90">
            <v>-30700.300525536753</v>
          </cell>
          <cell r="AP90">
            <v>-35459.70500189648</v>
          </cell>
          <cell r="AQ90">
            <v>-38289.268388575496</v>
          </cell>
        </row>
        <row r="98">
          <cell r="AN98">
            <v>0</v>
          </cell>
          <cell r="AO98">
            <v>0</v>
          </cell>
          <cell r="AP98">
            <v>0</v>
          </cell>
          <cell r="AQ98">
            <v>0</v>
          </cell>
        </row>
        <row r="99">
          <cell r="AN99">
            <v>0</v>
          </cell>
          <cell r="AO99">
            <v>0</v>
          </cell>
          <cell r="AP99">
            <v>0</v>
          </cell>
          <cell r="AQ99">
            <v>0</v>
          </cell>
        </row>
        <row r="100">
          <cell r="AN100">
            <v>0</v>
          </cell>
          <cell r="AO100">
            <v>0</v>
          </cell>
          <cell r="AP100">
            <v>0</v>
          </cell>
          <cell r="AQ100">
            <v>0</v>
          </cell>
        </row>
        <row r="102">
          <cell r="AN102">
            <v>0</v>
          </cell>
          <cell r="AO102">
            <v>0</v>
          </cell>
          <cell r="AP102">
            <v>0</v>
          </cell>
          <cell r="AQ102">
            <v>0</v>
          </cell>
        </row>
        <row r="103">
          <cell r="AN103">
            <v>0</v>
          </cell>
          <cell r="AO103">
            <v>0</v>
          </cell>
          <cell r="AP103">
            <v>0</v>
          </cell>
          <cell r="AQ103">
            <v>0</v>
          </cell>
        </row>
        <row r="104">
          <cell r="AN104">
            <v>0</v>
          </cell>
          <cell r="AO104">
            <v>0</v>
          </cell>
          <cell r="AP104">
            <v>0</v>
          </cell>
          <cell r="AQ104">
            <v>0</v>
          </cell>
        </row>
        <row r="108">
          <cell r="AN108">
            <v>0</v>
          </cell>
          <cell r="AO108">
            <v>0</v>
          </cell>
          <cell r="AP108">
            <v>0</v>
          </cell>
          <cell r="AQ108">
            <v>0</v>
          </cell>
        </row>
        <row r="111">
          <cell r="AN111">
            <v>0</v>
          </cell>
          <cell r="AO111">
            <v>0</v>
          </cell>
          <cell r="AP111">
            <v>0</v>
          </cell>
          <cell r="AQ111">
            <v>0</v>
          </cell>
        </row>
        <row r="113">
          <cell r="AN113">
            <v>0</v>
          </cell>
          <cell r="AO113">
            <v>0</v>
          </cell>
          <cell r="AP113">
            <v>0</v>
          </cell>
          <cell r="AQ113">
            <v>0</v>
          </cell>
        </row>
        <row r="114">
          <cell r="AN114">
            <v>0</v>
          </cell>
          <cell r="AO114">
            <v>0</v>
          </cell>
          <cell r="AP114">
            <v>0</v>
          </cell>
          <cell r="AQ114">
            <v>0</v>
          </cell>
        </row>
        <row r="116">
          <cell r="AN116">
            <v>-2873319.1688161497</v>
          </cell>
          <cell r="AO116">
            <v>-2922498.9779477115</v>
          </cell>
          <cell r="AP116">
            <v>-3161517.704597028</v>
          </cell>
          <cell r="AQ116">
            <v>-3508916.793312951</v>
          </cell>
        </row>
        <row r="117">
          <cell r="AN117">
            <v>-1792481.5079999999</v>
          </cell>
          <cell r="AO117">
            <v>-2028935.79807219</v>
          </cell>
          <cell r="AP117">
            <v>-2318625.6166540748</v>
          </cell>
          <cell r="AQ117">
            <v>-2740875.7871410665</v>
          </cell>
        </row>
        <row r="118">
          <cell r="AN118">
            <v>0</v>
          </cell>
          <cell r="AO118">
            <v>0</v>
          </cell>
          <cell r="AP118">
            <v>0</v>
          </cell>
          <cell r="AQ118">
            <v>0</v>
          </cell>
        </row>
        <row r="119">
          <cell r="AN119">
            <v>-58911.571000000004</v>
          </cell>
          <cell r="AO119">
            <v>-50156.828314893406</v>
          </cell>
          <cell r="AP119">
            <v>-44387.910006228434</v>
          </cell>
          <cell r="AQ119">
            <v>-40409.88571841643</v>
          </cell>
        </row>
        <row r="125">
          <cell r="AN125">
            <v>-44400.918183850372</v>
          </cell>
          <cell r="AO125">
            <v>-57394.807369999995</v>
          </cell>
          <cell r="AP125">
            <v>-57394.807369999995</v>
          </cell>
          <cell r="AQ125">
            <v>-57394.807369999995</v>
          </cell>
        </row>
        <row r="272">
          <cell r="E272">
            <v>23243.996479999994</v>
          </cell>
          <cell r="F272">
            <v>24477.982970000001</v>
          </cell>
          <cell r="G272">
            <v>25495.322590000003</v>
          </cell>
          <cell r="H272">
            <v>24946.863679324466</v>
          </cell>
          <cell r="I272">
            <v>131658.76972467705</v>
          </cell>
          <cell r="J272">
            <v>161145.04538901249</v>
          </cell>
          <cell r="K272">
            <v>194165.91521853418</v>
          </cell>
        </row>
        <row r="274">
          <cell r="E274">
            <v>-160.90112000000002</v>
          </cell>
          <cell r="F274">
            <v>-172.43638000000001</v>
          </cell>
          <cell r="G274">
            <v>-156.41920000000002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7"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9"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3"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6"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90"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3"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6"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300"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5"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23">
          <cell r="E323">
            <v>946.36768000000006</v>
          </cell>
          <cell r="F323">
            <v>1077.0594799999999</v>
          </cell>
          <cell r="G323">
            <v>1051.0345199999999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E324">
            <v>-98.755350000000419</v>
          </cell>
          <cell r="F324">
            <v>-33.623379999999685</v>
          </cell>
          <cell r="G324">
            <v>165.29585000000051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30">
          <cell r="E330">
            <v>566.43511000000001</v>
          </cell>
          <cell r="F330">
            <v>639.79097999999999</v>
          </cell>
          <cell r="G330">
            <v>581.34258000000011</v>
          </cell>
          <cell r="H330">
            <v>618.50915770866129</v>
          </cell>
          <cell r="I330">
            <v>2501.2920958931495</v>
          </cell>
          <cell r="J330">
            <v>2093.2422981659442</v>
          </cell>
          <cell r="K330">
            <v>1937.7062373799329</v>
          </cell>
        </row>
        <row r="334">
          <cell r="E334">
            <v>139.44558000000001</v>
          </cell>
          <cell r="F334">
            <v>100.41944000000001</v>
          </cell>
          <cell r="G334">
            <v>99.733739999999997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40">
          <cell r="E340">
            <v>626.31073000000004</v>
          </cell>
          <cell r="F340">
            <v>556.34994000000006</v>
          </cell>
          <cell r="G340">
            <v>691.90987000000007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50">
          <cell r="E350">
            <v>20.003959999999999</v>
          </cell>
          <cell r="F350">
            <v>23.701720000000002</v>
          </cell>
          <cell r="G350">
            <v>24.908610000000003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E351">
            <v>3315.8279500000003</v>
          </cell>
          <cell r="F351">
            <v>3265.1772700000001</v>
          </cell>
          <cell r="G351">
            <v>3341.89948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60">
          <cell r="E360">
            <v>3709.5696199999998</v>
          </cell>
          <cell r="F360">
            <v>3683.8121599999995</v>
          </cell>
          <cell r="G360">
            <v>3715.7956300000005</v>
          </cell>
          <cell r="H360">
            <v>7781.8093930178529</v>
          </cell>
          <cell r="I360">
            <v>32799.664617886141</v>
          </cell>
          <cell r="J360">
            <v>35095.64114113817</v>
          </cell>
          <cell r="K360">
            <v>38605.205255251974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76"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4">
          <cell r="E384">
            <v>40.347930000000005</v>
          </cell>
          <cell r="F384">
            <v>46.161479999999997</v>
          </cell>
          <cell r="G384">
            <v>48.293639999999996</v>
          </cell>
          <cell r="H384">
            <v>-84.666226698038372</v>
          </cell>
          <cell r="I384">
            <v>-301.91805100968486</v>
          </cell>
          <cell r="J384">
            <v>-163.33134362529472</v>
          </cell>
          <cell r="K384">
            <v>-154.21180511184957</v>
          </cell>
        </row>
        <row r="386">
          <cell r="E386">
            <v>-16404.817861123662</v>
          </cell>
          <cell r="F386">
            <v>-16320.654997837648</v>
          </cell>
          <cell r="G386">
            <v>-18302.846915443173</v>
          </cell>
          <cell r="H386">
            <v>-18560.260672738754</v>
          </cell>
          <cell r="I386">
            <v>-74901.925315271044</v>
          </cell>
          <cell r="J386">
            <v>-78067.856301631269</v>
          </cell>
          <cell r="K386">
            <v>-80483.673848303151</v>
          </cell>
        </row>
        <row r="387">
          <cell r="E387">
            <v>-8747.7919317805699</v>
          </cell>
          <cell r="F387">
            <v>-10006.587884441464</v>
          </cell>
          <cell r="G387">
            <v>-8483.3797681818032</v>
          </cell>
          <cell r="H387">
            <v>-11423.664152903048</v>
          </cell>
          <cell r="I387">
            <v>-45400.716464375211</v>
          </cell>
          <cell r="J387">
            <v>-44453.507862576458</v>
          </cell>
          <cell r="K387">
            <v>-45275.692508677545</v>
          </cell>
        </row>
        <row r="388">
          <cell r="E388">
            <v>-2013.7381196072627</v>
          </cell>
          <cell r="F388">
            <v>-2890.5007834544394</v>
          </cell>
          <cell r="G388">
            <v>-3160.4463334995785</v>
          </cell>
          <cell r="H388">
            <v>-2308.8085713332666</v>
          </cell>
          <cell r="I388">
            <v>-9332.7603329687699</v>
          </cell>
          <cell r="J388">
            <v>-8898.4106795479038</v>
          </cell>
          <cell r="K388">
            <v>-8715.5518466264839</v>
          </cell>
        </row>
        <row r="390">
          <cell r="E390">
            <v>-2590.0853999999999</v>
          </cell>
          <cell r="F390">
            <v>-3789.9539999999997</v>
          </cell>
          <cell r="G390">
            <v>-2924.8581900000004</v>
          </cell>
          <cell r="H390">
            <v>-3965.3813344845362</v>
          </cell>
          <cell r="I390">
            <v>-14835.758560695049</v>
          </cell>
          <cell r="J390">
            <v>-18528.546170031532</v>
          </cell>
          <cell r="K390">
            <v>-18621.52023746389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E392">
            <v>-1446.8154300000001</v>
          </cell>
          <cell r="F392">
            <v>2313.6604800000005</v>
          </cell>
          <cell r="G392">
            <v>1860.2107599999999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5"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400">
          <cell r="E400">
            <v>-328.96594462097426</v>
          </cell>
          <cell r="F400">
            <v>-1022.07786699326</v>
          </cell>
          <cell r="G400">
            <v>-1438.8458550064056</v>
          </cell>
          <cell r="H400">
            <v>1051.9322377676792</v>
          </cell>
          <cell r="I400">
            <v>-7751.9219834069299</v>
          </cell>
          <cell r="J400">
            <v>-16864.512393269579</v>
          </cell>
          <cell r="K400">
            <v>-28497.201346541053</v>
          </cell>
        </row>
      </sheetData>
      <sheetData sheetId="17">
        <row r="10">
          <cell r="AN10">
            <v>0</v>
          </cell>
          <cell r="AO10">
            <v>0</v>
          </cell>
          <cell r="AP10">
            <v>0</v>
          </cell>
          <cell r="AQ10">
            <v>0</v>
          </cell>
        </row>
        <row r="12">
          <cell r="AN12">
            <v>0</v>
          </cell>
          <cell r="AO12">
            <v>0</v>
          </cell>
          <cell r="AP12">
            <v>0</v>
          </cell>
          <cell r="AQ12">
            <v>0</v>
          </cell>
        </row>
        <row r="13">
          <cell r="AN13">
            <v>0</v>
          </cell>
          <cell r="AO13">
            <v>0</v>
          </cell>
          <cell r="AP13">
            <v>0</v>
          </cell>
          <cell r="AQ13">
            <v>0</v>
          </cell>
        </row>
        <row r="15">
          <cell r="AN15">
            <v>0</v>
          </cell>
          <cell r="AO15">
            <v>0</v>
          </cell>
          <cell r="AP15">
            <v>0</v>
          </cell>
          <cell r="AQ15">
            <v>0</v>
          </cell>
        </row>
        <row r="31"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</row>
        <row r="32"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</row>
        <row r="33"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</row>
        <row r="41"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</row>
        <row r="46"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V46">
            <v>8.4239130434782608E-3</v>
          </cell>
          <cell r="AW46">
            <v>0</v>
          </cell>
          <cell r="AX46">
            <v>0</v>
          </cell>
          <cell r="AY46">
            <v>0</v>
          </cell>
        </row>
        <row r="47"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</row>
        <row r="48"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</row>
        <row r="52"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</row>
        <row r="53"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</row>
        <row r="54"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</row>
        <row r="56"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</row>
        <row r="58"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</row>
        <row r="60">
          <cell r="AN60">
            <v>0</v>
          </cell>
          <cell r="AO60">
            <v>0</v>
          </cell>
          <cell r="AP60">
            <v>0</v>
          </cell>
          <cell r="AQ60">
            <v>0</v>
          </cell>
        </row>
        <row r="62">
          <cell r="AN62">
            <v>0</v>
          </cell>
          <cell r="AO62">
            <v>0</v>
          </cell>
          <cell r="AP62">
            <v>0</v>
          </cell>
          <cell r="AQ62">
            <v>0</v>
          </cell>
        </row>
        <row r="64">
          <cell r="AN64">
            <v>0</v>
          </cell>
          <cell r="AO64">
            <v>0</v>
          </cell>
          <cell r="AP64">
            <v>0</v>
          </cell>
          <cell r="AQ64">
            <v>0</v>
          </cell>
        </row>
        <row r="67">
          <cell r="AN67">
            <v>0</v>
          </cell>
          <cell r="AO67">
            <v>0</v>
          </cell>
          <cell r="AP67">
            <v>0</v>
          </cell>
          <cell r="AQ67">
            <v>0</v>
          </cell>
        </row>
        <row r="74">
          <cell r="AN74">
            <v>0</v>
          </cell>
          <cell r="AO74">
            <v>0</v>
          </cell>
          <cell r="AP74">
            <v>0</v>
          </cell>
          <cell r="AQ74">
            <v>0</v>
          </cell>
        </row>
        <row r="75">
          <cell r="AN75">
            <v>0</v>
          </cell>
          <cell r="AO75">
            <v>0</v>
          </cell>
          <cell r="AP75">
            <v>0</v>
          </cell>
          <cell r="AQ75">
            <v>0</v>
          </cell>
        </row>
        <row r="77">
          <cell r="AN77">
            <v>0</v>
          </cell>
          <cell r="AO77">
            <v>0</v>
          </cell>
          <cell r="AP77">
            <v>0</v>
          </cell>
          <cell r="AQ77">
            <v>0</v>
          </cell>
        </row>
        <row r="88">
          <cell r="AN88">
            <v>0</v>
          </cell>
          <cell r="AO88">
            <v>0</v>
          </cell>
          <cell r="AP88">
            <v>0</v>
          </cell>
          <cell r="AQ88">
            <v>0</v>
          </cell>
        </row>
        <row r="90">
          <cell r="AN90">
            <v>-3.0550447911704401E-2</v>
          </cell>
          <cell r="AO90">
            <v>-1.3212095837924898</v>
          </cell>
          <cell r="AP90">
            <v>-1.0173217476815171</v>
          </cell>
          <cell r="AQ90">
            <v>-0.38915532645232892</v>
          </cell>
        </row>
        <row r="98">
          <cell r="AN98">
            <v>0.41374</v>
          </cell>
          <cell r="AO98">
            <v>0.41374</v>
          </cell>
          <cell r="AP98">
            <v>0.41374</v>
          </cell>
          <cell r="AQ98">
            <v>0.41374</v>
          </cell>
        </row>
        <row r="99">
          <cell r="AN99">
            <v>0</v>
          </cell>
          <cell r="AO99">
            <v>0</v>
          </cell>
          <cell r="AP99">
            <v>0</v>
          </cell>
          <cell r="AQ99">
            <v>0</v>
          </cell>
        </row>
        <row r="100">
          <cell r="AN100">
            <v>0</v>
          </cell>
          <cell r="AO100">
            <v>0</v>
          </cell>
          <cell r="AP100">
            <v>0</v>
          </cell>
          <cell r="AQ100">
            <v>0</v>
          </cell>
        </row>
        <row r="102">
          <cell r="AN102">
            <v>0</v>
          </cell>
          <cell r="AO102">
            <v>0</v>
          </cell>
          <cell r="AP102">
            <v>0</v>
          </cell>
          <cell r="AQ102">
            <v>0</v>
          </cell>
        </row>
        <row r="103">
          <cell r="AN103">
            <v>0</v>
          </cell>
          <cell r="AO103">
            <v>0</v>
          </cell>
          <cell r="AP103">
            <v>0</v>
          </cell>
          <cell r="AQ103">
            <v>0</v>
          </cell>
        </row>
        <row r="104">
          <cell r="AN104">
            <v>0</v>
          </cell>
          <cell r="AO104">
            <v>0</v>
          </cell>
          <cell r="AP104">
            <v>0</v>
          </cell>
          <cell r="AQ104">
            <v>0</v>
          </cell>
        </row>
        <row r="108">
          <cell r="AN108">
            <v>1.5</v>
          </cell>
          <cell r="AO108">
            <v>1.5</v>
          </cell>
          <cell r="AP108">
            <v>1.5</v>
          </cell>
          <cell r="AQ108">
            <v>1.5</v>
          </cell>
        </row>
        <row r="111">
          <cell r="AN111">
            <v>0</v>
          </cell>
          <cell r="AO111">
            <v>0</v>
          </cell>
          <cell r="AP111">
            <v>0</v>
          </cell>
          <cell r="AQ111">
            <v>0</v>
          </cell>
        </row>
        <row r="113">
          <cell r="AN113">
            <v>0</v>
          </cell>
          <cell r="AO113">
            <v>0</v>
          </cell>
          <cell r="AP113">
            <v>0</v>
          </cell>
          <cell r="AQ113">
            <v>0</v>
          </cell>
        </row>
        <row r="114">
          <cell r="AN114">
            <v>0</v>
          </cell>
          <cell r="AO114">
            <v>0</v>
          </cell>
          <cell r="AP114">
            <v>0</v>
          </cell>
          <cell r="AQ114">
            <v>0</v>
          </cell>
        </row>
        <row r="116">
          <cell r="AN116">
            <v>-4125074.7766501512</v>
          </cell>
          <cell r="AO116">
            <v>-4214463.0255133733</v>
          </cell>
          <cell r="AP116">
            <v>-4307430.1646624859</v>
          </cell>
          <cell r="AQ116">
            <v>-4406961.3695333013</v>
          </cell>
        </row>
        <row r="117">
          <cell r="AN117">
            <v>-3155.1517213744846</v>
          </cell>
          <cell r="AO117">
            <v>-3156.6783053263712</v>
          </cell>
          <cell r="AP117">
            <v>-3156.6783053263712</v>
          </cell>
          <cell r="AQ117">
            <v>-3156.6783053263712</v>
          </cell>
        </row>
        <row r="118">
          <cell r="AN118">
            <v>0</v>
          </cell>
          <cell r="AO118">
            <v>0</v>
          </cell>
          <cell r="AP118">
            <v>0</v>
          </cell>
          <cell r="AQ118">
            <v>0</v>
          </cell>
        </row>
        <row r="119">
          <cell r="AN119">
            <v>-1026920.1423478901</v>
          </cell>
          <cell r="AO119">
            <v>-1220715.5293150663</v>
          </cell>
          <cell r="AP119">
            <v>-1396043.5506996782</v>
          </cell>
          <cell r="AQ119">
            <v>-1586512.7025924558</v>
          </cell>
        </row>
        <row r="125">
          <cell r="AN125">
            <v>-45788.994923872699</v>
          </cell>
          <cell r="AO125">
            <v>-5791.795862632197</v>
          </cell>
          <cell r="AP125">
            <v>-5791.795862632197</v>
          </cell>
          <cell r="AQ125">
            <v>-5791.795862632197</v>
          </cell>
        </row>
        <row r="272">
          <cell r="E272">
            <v>2583.7817100000011</v>
          </cell>
          <cell r="F272">
            <v>2933.6891299999988</v>
          </cell>
          <cell r="G272">
            <v>3786.0075199999992</v>
          </cell>
          <cell r="H272">
            <v>3089.2326020968658</v>
          </cell>
          <cell r="I272">
            <v>18487.499744081419</v>
          </cell>
          <cell r="J272">
            <v>23568.857930388083</v>
          </cell>
          <cell r="K272">
            <v>29473.671493123809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7"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9"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3"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6"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90"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3"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6"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300"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5"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23">
          <cell r="E323">
            <v>31.104389999999999</v>
          </cell>
          <cell r="F323">
            <v>30.095220000000001</v>
          </cell>
          <cell r="G323">
            <v>51.872</v>
          </cell>
          <cell r="H323">
            <v>0</v>
          </cell>
          <cell r="I323">
            <v>180</v>
          </cell>
          <cell r="J323">
            <v>370</v>
          </cell>
          <cell r="K323">
            <v>600</v>
          </cell>
        </row>
        <row r="324">
          <cell r="E324">
            <v>-8.9519599999999855</v>
          </cell>
          <cell r="F324">
            <v>-22.715189999999978</v>
          </cell>
          <cell r="G324">
            <v>-12.895729999999956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30">
          <cell r="E330">
            <v>0</v>
          </cell>
          <cell r="F330">
            <v>0</v>
          </cell>
          <cell r="G330">
            <v>2.5505856107721492E-17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4">
          <cell r="E334">
            <v>0.03</v>
          </cell>
          <cell r="F334">
            <v>0.03</v>
          </cell>
          <cell r="G334">
            <v>1.4999999999999999E-2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E351">
            <v>0.36</v>
          </cell>
          <cell r="F351">
            <v>0.26</v>
          </cell>
          <cell r="G351">
            <v>0.35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60">
          <cell r="E360">
            <v>239.10420999999999</v>
          </cell>
          <cell r="F360">
            <v>216.83424000000002</v>
          </cell>
          <cell r="G360">
            <v>285.41020999999995</v>
          </cell>
          <cell r="H360">
            <v>276.2359425981553</v>
          </cell>
          <cell r="I360">
            <v>969.87784303393755</v>
          </cell>
          <cell r="J360">
            <v>989.27539989461616</v>
          </cell>
          <cell r="K360">
            <v>1009.0609078925085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76">
          <cell r="E376">
            <v>1.4522599999999999</v>
          </cell>
          <cell r="F376">
            <v>1.2654299999999998</v>
          </cell>
          <cell r="G376">
            <v>1.1778999999999999</v>
          </cell>
          <cell r="H376">
            <v>42.153243671919995</v>
          </cell>
          <cell r="I376">
            <v>171.33592860547006</v>
          </cell>
          <cell r="J376">
            <v>174.67206300547002</v>
          </cell>
          <cell r="K376">
            <v>178.07492009347001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4">
          <cell r="E384">
            <v>-1387.7678799999999</v>
          </cell>
          <cell r="F384">
            <v>-1185.9064999999998</v>
          </cell>
          <cell r="G384">
            <v>-1182.1406199999999</v>
          </cell>
          <cell r="H384">
            <v>-1262.2293941548717</v>
          </cell>
          <cell r="I384">
            <v>-4970.8743564470706</v>
          </cell>
          <cell r="J384">
            <v>-5172.8891755509485</v>
          </cell>
          <cell r="K384">
            <v>-5405.9067129575651</v>
          </cell>
        </row>
        <row r="386">
          <cell r="E386">
            <v>-2457.1188853839694</v>
          </cell>
          <cell r="F386">
            <v>-2465.1121634907809</v>
          </cell>
          <cell r="G386">
            <v>-2886.9040283967688</v>
          </cell>
          <cell r="H386">
            <v>-4165.3187599017301</v>
          </cell>
          <cell r="I386">
            <v>-10193.501994794151</v>
          </cell>
          <cell r="J386">
            <v>-10285.331967270558</v>
          </cell>
          <cell r="K386">
            <v>-10254.697215248725</v>
          </cell>
        </row>
        <row r="387">
          <cell r="E387">
            <v>-3835.5459985956186</v>
          </cell>
          <cell r="F387">
            <v>-3846.0219581449173</v>
          </cell>
          <cell r="G387">
            <v>-1663.8137963636236</v>
          </cell>
          <cell r="H387">
            <v>-2573.7799600096023</v>
          </cell>
          <cell r="I387">
            <v>-11504.052811823598</v>
          </cell>
          <cell r="J387">
            <v>-10364.835325216001</v>
          </cell>
          <cell r="K387">
            <v>-9640.4298077846979</v>
          </cell>
        </row>
        <row r="388">
          <cell r="E388">
            <v>255.9618912587988</v>
          </cell>
          <cell r="F388">
            <v>225.61995209102429</v>
          </cell>
          <cell r="G388">
            <v>-939.70693712454306</v>
          </cell>
          <cell r="H388">
            <v>-1329.7627058924866</v>
          </cell>
          <cell r="I388">
            <v>-4759.6027925830031</v>
          </cell>
          <cell r="J388">
            <v>-4285.3452367666405</v>
          </cell>
          <cell r="K388">
            <v>-3911.0207673559835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-1.5129564697796649</v>
          </cell>
          <cell r="J390">
            <v>-0.8815803319650789</v>
          </cell>
          <cell r="K390">
            <v>-0.48641826998799098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E392">
            <v>-4.7390000000000009E-2</v>
          </cell>
          <cell r="F392">
            <v>-1.60527</v>
          </cell>
          <cell r="G392">
            <v>3.3350000000000005E-2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5"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400">
          <cell r="E400">
            <v>1602.1731404522761</v>
          </cell>
          <cell r="F400">
            <v>1439.748511340636</v>
          </cell>
          <cell r="G400">
            <v>896.06376065972745</v>
          </cell>
          <cell r="H400">
            <v>2079.8876442684541</v>
          </cell>
          <cell r="I400">
            <v>4093.0509422337982</v>
          </cell>
          <cell r="J400">
            <v>1777.7959476817141</v>
          </cell>
          <cell r="K400">
            <v>-691.60276028636213</v>
          </cell>
        </row>
      </sheetData>
      <sheetData sheetId="18">
        <row r="272"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</sheetData>
      <sheetData sheetId="19">
        <row r="10">
          <cell r="AN10">
            <v>0</v>
          </cell>
          <cell r="AO10">
            <v>0</v>
          </cell>
          <cell r="AP10">
            <v>0</v>
          </cell>
          <cell r="AQ10">
            <v>0</v>
          </cell>
        </row>
        <row r="12">
          <cell r="AN12">
            <v>0</v>
          </cell>
          <cell r="AO12">
            <v>0</v>
          </cell>
          <cell r="AP12">
            <v>0</v>
          </cell>
          <cell r="AQ12">
            <v>0</v>
          </cell>
        </row>
        <row r="13">
          <cell r="AN13">
            <v>0</v>
          </cell>
          <cell r="AO13">
            <v>0</v>
          </cell>
          <cell r="AP13">
            <v>0</v>
          </cell>
          <cell r="AQ13">
            <v>0</v>
          </cell>
        </row>
        <row r="15">
          <cell r="AN15">
            <v>0</v>
          </cell>
          <cell r="AO15">
            <v>0</v>
          </cell>
          <cell r="AP15">
            <v>0</v>
          </cell>
          <cell r="AQ15">
            <v>0</v>
          </cell>
        </row>
        <row r="31"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</row>
        <row r="32"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</row>
        <row r="33"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</row>
        <row r="41"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</row>
        <row r="46"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</row>
        <row r="47"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</row>
        <row r="48"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</row>
        <row r="52"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</row>
        <row r="53"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</row>
        <row r="54"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</row>
        <row r="56"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</row>
        <row r="58"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</row>
        <row r="60">
          <cell r="AN60">
            <v>0</v>
          </cell>
          <cell r="AO60">
            <v>0</v>
          </cell>
          <cell r="AP60">
            <v>0</v>
          </cell>
          <cell r="AQ60">
            <v>0</v>
          </cell>
        </row>
        <row r="62">
          <cell r="AN62">
            <v>0</v>
          </cell>
          <cell r="AO62">
            <v>0</v>
          </cell>
          <cell r="AP62">
            <v>0</v>
          </cell>
          <cell r="AQ62">
            <v>0</v>
          </cell>
        </row>
        <row r="64">
          <cell r="AN64">
            <v>0</v>
          </cell>
          <cell r="AO64">
            <v>0</v>
          </cell>
          <cell r="AP64">
            <v>0</v>
          </cell>
          <cell r="AQ64">
            <v>0</v>
          </cell>
        </row>
        <row r="67">
          <cell r="AN67">
            <v>0</v>
          </cell>
          <cell r="AO67">
            <v>0</v>
          </cell>
          <cell r="AP67">
            <v>0</v>
          </cell>
          <cell r="AQ67">
            <v>0</v>
          </cell>
        </row>
        <row r="74">
          <cell r="AN74">
            <v>0</v>
          </cell>
          <cell r="AO74">
            <v>0</v>
          </cell>
          <cell r="AP74">
            <v>0</v>
          </cell>
          <cell r="AQ74">
            <v>0</v>
          </cell>
        </row>
        <row r="75">
          <cell r="AN75">
            <v>0</v>
          </cell>
          <cell r="AO75">
            <v>0</v>
          </cell>
          <cell r="AP75">
            <v>0</v>
          </cell>
          <cell r="AQ75">
            <v>0</v>
          </cell>
        </row>
        <row r="77">
          <cell r="AN77">
            <v>0</v>
          </cell>
          <cell r="AO77">
            <v>0</v>
          </cell>
          <cell r="AP77">
            <v>0</v>
          </cell>
          <cell r="AQ77">
            <v>0</v>
          </cell>
        </row>
        <row r="88">
          <cell r="AN88">
            <v>0</v>
          </cell>
          <cell r="AO88">
            <v>0</v>
          </cell>
          <cell r="AP88">
            <v>0</v>
          </cell>
          <cell r="AQ88">
            <v>0</v>
          </cell>
        </row>
        <row r="90">
          <cell r="AN90">
            <v>-2350</v>
          </cell>
          <cell r="AO90">
            <v>-2350</v>
          </cell>
          <cell r="AP90">
            <v>-2350</v>
          </cell>
          <cell r="AQ90">
            <v>-2350</v>
          </cell>
        </row>
        <row r="98">
          <cell r="AN98">
            <v>0</v>
          </cell>
          <cell r="AO98">
            <v>0</v>
          </cell>
          <cell r="AP98">
            <v>0</v>
          </cell>
          <cell r="AQ98">
            <v>0</v>
          </cell>
        </row>
        <row r="99">
          <cell r="AN99">
            <v>0</v>
          </cell>
          <cell r="AO99">
            <v>0</v>
          </cell>
          <cell r="AP99">
            <v>0</v>
          </cell>
          <cell r="AQ99">
            <v>0</v>
          </cell>
        </row>
        <row r="100">
          <cell r="AN100">
            <v>0</v>
          </cell>
          <cell r="AO100">
            <v>0</v>
          </cell>
          <cell r="AP100">
            <v>0</v>
          </cell>
          <cell r="AQ100">
            <v>0</v>
          </cell>
        </row>
        <row r="102">
          <cell r="AN102">
            <v>0</v>
          </cell>
          <cell r="AO102">
            <v>0</v>
          </cell>
          <cell r="AP102">
            <v>0</v>
          </cell>
          <cell r="AQ102">
            <v>0</v>
          </cell>
        </row>
        <row r="103">
          <cell r="AN103">
            <v>0</v>
          </cell>
          <cell r="AO103">
            <v>0</v>
          </cell>
          <cell r="AP103">
            <v>0</v>
          </cell>
          <cell r="AQ103">
            <v>0</v>
          </cell>
        </row>
        <row r="104">
          <cell r="AN104">
            <v>0</v>
          </cell>
          <cell r="AO104">
            <v>0</v>
          </cell>
          <cell r="AP104">
            <v>0</v>
          </cell>
          <cell r="AQ104">
            <v>0</v>
          </cell>
        </row>
        <row r="108">
          <cell r="AN108">
            <v>1977470.0271006799</v>
          </cell>
          <cell r="AO108">
            <v>1326963.5766767289</v>
          </cell>
          <cell r="AP108">
            <v>434754.53568386746</v>
          </cell>
          <cell r="AQ108">
            <v>0</v>
          </cell>
        </row>
        <row r="111">
          <cell r="AN111">
            <v>0</v>
          </cell>
          <cell r="AO111">
            <v>0</v>
          </cell>
          <cell r="AP111">
            <v>0</v>
          </cell>
          <cell r="AQ111">
            <v>0</v>
          </cell>
        </row>
        <row r="113">
          <cell r="AN113">
            <v>0</v>
          </cell>
          <cell r="AO113">
            <v>0</v>
          </cell>
          <cell r="AP113">
            <v>0</v>
          </cell>
          <cell r="AQ113">
            <v>0</v>
          </cell>
        </row>
        <row r="114">
          <cell r="AN114">
            <v>0</v>
          </cell>
          <cell r="AO114">
            <v>0</v>
          </cell>
          <cell r="AP114">
            <v>0</v>
          </cell>
          <cell r="AQ114">
            <v>0</v>
          </cell>
        </row>
        <row r="116">
          <cell r="AN116">
            <v>0</v>
          </cell>
          <cell r="AO116">
            <v>0</v>
          </cell>
          <cell r="AP116">
            <v>0</v>
          </cell>
          <cell r="AQ116">
            <v>0</v>
          </cell>
        </row>
        <row r="117">
          <cell r="AN117">
            <v>-39704.199000000015</v>
          </cell>
          <cell r="AO117">
            <v>-16547.946770000013</v>
          </cell>
          <cell r="AP117">
            <v>-241.0451100000175</v>
          </cell>
          <cell r="AQ117">
            <v>-240.26128000001751</v>
          </cell>
        </row>
        <row r="118">
          <cell r="AN118">
            <v>0</v>
          </cell>
          <cell r="AO118">
            <v>0</v>
          </cell>
          <cell r="AP118">
            <v>0</v>
          </cell>
          <cell r="AQ118">
            <v>0</v>
          </cell>
        </row>
        <row r="119">
          <cell r="AN119">
            <v>0</v>
          </cell>
          <cell r="AO119">
            <v>0</v>
          </cell>
          <cell r="AP119">
            <v>0</v>
          </cell>
          <cell r="AQ119">
            <v>0</v>
          </cell>
        </row>
        <row r="125">
          <cell r="AN125">
            <v>0</v>
          </cell>
          <cell r="AO125">
            <v>0</v>
          </cell>
          <cell r="AP125">
            <v>0</v>
          </cell>
          <cell r="AQ125">
            <v>0</v>
          </cell>
        </row>
        <row r="272">
          <cell r="E272">
            <v>-4445.1288100000002</v>
          </cell>
          <cell r="F272">
            <v>-5208.9831399999994</v>
          </cell>
          <cell r="G272">
            <v>-5700.8205200000002</v>
          </cell>
          <cell r="H272">
            <v>-4988.6739050242695</v>
          </cell>
          <cell r="I272">
            <v>-15921.086315374479</v>
          </cell>
          <cell r="J272">
            <v>-7687.2121438679133</v>
          </cell>
          <cell r="K272">
            <v>-743.17386790248418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7"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9"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3"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6"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90"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3"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6"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300"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5"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30"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4">
          <cell r="E334">
            <v>1.4999999999999999E-2</v>
          </cell>
          <cell r="F334">
            <v>1.4999999999999999E-2</v>
          </cell>
          <cell r="G334">
            <v>1.4999999999999999E-2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60"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7"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76"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4">
          <cell r="E384">
            <v>16270.242040000005</v>
          </cell>
          <cell r="F384">
            <v>18354.559349999996</v>
          </cell>
          <cell r="G384">
            <v>18254.670349999997</v>
          </cell>
          <cell r="H384">
            <v>93652.326821875831</v>
          </cell>
          <cell r="I384">
            <v>344880.69658778451</v>
          </cell>
          <cell r="J384">
            <v>190663.34732191521</v>
          </cell>
          <cell r="K384">
            <v>26757.227142872736</v>
          </cell>
        </row>
        <row r="386">
          <cell r="E386">
            <v>-946.96190000000001</v>
          </cell>
          <cell r="F386">
            <v>-1275.47441</v>
          </cell>
          <cell r="G386">
            <v>-1444.9014300000001</v>
          </cell>
          <cell r="H386">
            <v>-838.65858464621704</v>
          </cell>
          <cell r="I386">
            <v>-4779.1746170570777</v>
          </cell>
          <cell r="J386">
            <v>-5911.2882107023779</v>
          </cell>
          <cell r="K386">
            <v>-5936.1437312947746</v>
          </cell>
        </row>
        <row r="387">
          <cell r="E387">
            <v>-4010.044170000001</v>
          </cell>
          <cell r="F387">
            <v>-4135.2765300000028</v>
          </cell>
          <cell r="G387">
            <v>-3588.3246299999992</v>
          </cell>
          <cell r="H387">
            <v>-79739.798547385697</v>
          </cell>
          <cell r="I387">
            <v>-293685.4919870809</v>
          </cell>
          <cell r="J387">
            <v>-172096.07510782988</v>
          </cell>
          <cell r="K387">
            <v>-29695.543511064927</v>
          </cell>
        </row>
        <row r="388">
          <cell r="E388">
            <v>-11.79712</v>
          </cell>
          <cell r="F388">
            <v>-11.93122</v>
          </cell>
          <cell r="G388">
            <v>-11.989830000000001</v>
          </cell>
          <cell r="H388">
            <v>-132.28105306325634</v>
          </cell>
          <cell r="I388">
            <v>-192.13199452476482</v>
          </cell>
          <cell r="J388">
            <v>-113.0185399817823</v>
          </cell>
          <cell r="K388">
            <v>-43.808208453354752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E392">
            <v>0</v>
          </cell>
          <cell r="F392">
            <v>0</v>
          </cell>
          <cell r="G392">
            <v>-2.0000000000000002E-5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5"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400">
          <cell r="E400">
            <v>-2399.71378</v>
          </cell>
          <cell r="F400">
            <v>-2703.0181600000001</v>
          </cell>
          <cell r="G400">
            <v>-2628.0271299999999</v>
          </cell>
          <cell r="H400">
            <v>-2783.5201561147337</v>
          </cell>
          <cell r="I400">
            <v>-10605.984085811551</v>
          </cell>
          <cell r="J400">
            <v>-1699.5136618366205</v>
          </cell>
          <cell r="K400">
            <v>3381.504761544983</v>
          </cell>
        </row>
      </sheetData>
      <sheetData sheetId="20">
        <row r="10">
          <cell r="AN10">
            <v>126385.44190000001</v>
          </cell>
          <cell r="AO10">
            <v>126385.44190000001</v>
          </cell>
          <cell r="AP10">
            <v>126385.44190000001</v>
          </cell>
          <cell r="AQ10">
            <v>126385.44190000001</v>
          </cell>
        </row>
        <row r="12">
          <cell r="AN12">
            <v>0</v>
          </cell>
          <cell r="AO12">
            <v>0</v>
          </cell>
          <cell r="AP12">
            <v>0</v>
          </cell>
          <cell r="AQ12">
            <v>0</v>
          </cell>
        </row>
        <row r="13">
          <cell r="AN13">
            <v>0</v>
          </cell>
          <cell r="AO13">
            <v>0</v>
          </cell>
          <cell r="AP13">
            <v>0</v>
          </cell>
          <cell r="AQ13">
            <v>0</v>
          </cell>
        </row>
        <row r="15">
          <cell r="AN15">
            <v>0</v>
          </cell>
          <cell r="AO15">
            <v>0</v>
          </cell>
          <cell r="AP15">
            <v>0</v>
          </cell>
          <cell r="AQ15">
            <v>0</v>
          </cell>
        </row>
        <row r="31"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V31">
            <v>-1159393.92539</v>
          </cell>
          <cell r="AW31">
            <v>-1159393.92539</v>
          </cell>
          <cell r="AX31">
            <v>-1159393.92539</v>
          </cell>
          <cell r="AY31">
            <v>-1159393.92539</v>
          </cell>
        </row>
        <row r="32"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</row>
        <row r="33"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V33">
            <v>1159393.92539</v>
          </cell>
          <cell r="AW33">
            <v>1159393.92539</v>
          </cell>
          <cell r="AX33">
            <v>1159393.92539</v>
          </cell>
          <cell r="AY33">
            <v>1159393.92539</v>
          </cell>
        </row>
        <row r="41"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</row>
        <row r="46">
          <cell r="AN46">
            <v>6566083.6153100003</v>
          </cell>
          <cell r="AO46">
            <v>7074307.0175085291</v>
          </cell>
          <cell r="AP46">
            <v>7200733.2787505016</v>
          </cell>
          <cell r="AQ46">
            <v>7590544.0554226283</v>
          </cell>
          <cell r="AV46">
            <v>6228663.4350699997</v>
          </cell>
          <cell r="AW46">
            <v>7033829.0008259974</v>
          </cell>
          <cell r="AX46">
            <v>7138713.769839352</v>
          </cell>
          <cell r="AY46">
            <v>7395113.71482151</v>
          </cell>
        </row>
        <row r="47"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</row>
        <row r="48"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</row>
        <row r="52"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</row>
        <row r="53"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</row>
        <row r="54"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</row>
        <row r="56"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</row>
        <row r="58"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</row>
        <row r="60">
          <cell r="AN60">
            <v>0</v>
          </cell>
          <cell r="AO60">
            <v>0</v>
          </cell>
          <cell r="AP60">
            <v>0</v>
          </cell>
          <cell r="AQ60">
            <v>0</v>
          </cell>
        </row>
        <row r="62">
          <cell r="AN62">
            <v>0</v>
          </cell>
          <cell r="AO62">
            <v>0</v>
          </cell>
          <cell r="AP62">
            <v>0</v>
          </cell>
          <cell r="AQ62">
            <v>0</v>
          </cell>
        </row>
        <row r="64">
          <cell r="AN64">
            <v>1495500</v>
          </cell>
          <cell r="AO64">
            <v>1849179.53455</v>
          </cell>
          <cell r="AP64">
            <v>1934179.53455</v>
          </cell>
          <cell r="AQ64">
            <v>1986179.53455</v>
          </cell>
        </row>
        <row r="67">
          <cell r="AN67">
            <v>0</v>
          </cell>
          <cell r="AO67">
            <v>0</v>
          </cell>
          <cell r="AP67">
            <v>0</v>
          </cell>
          <cell r="AQ67">
            <v>0</v>
          </cell>
        </row>
        <row r="74">
          <cell r="AN74">
            <v>0</v>
          </cell>
          <cell r="AO74">
            <v>0</v>
          </cell>
          <cell r="AP74">
            <v>0</v>
          </cell>
          <cell r="AQ74">
            <v>0</v>
          </cell>
        </row>
        <row r="75">
          <cell r="AN75">
            <v>0</v>
          </cell>
          <cell r="AO75">
            <v>0</v>
          </cell>
          <cell r="AP75">
            <v>0</v>
          </cell>
          <cell r="AQ75">
            <v>0</v>
          </cell>
        </row>
        <row r="77">
          <cell r="AN77">
            <v>0</v>
          </cell>
          <cell r="AO77">
            <v>0</v>
          </cell>
          <cell r="AP77">
            <v>0</v>
          </cell>
          <cell r="AQ77">
            <v>0</v>
          </cell>
        </row>
        <row r="88">
          <cell r="AN88">
            <v>0</v>
          </cell>
          <cell r="AO88">
            <v>0</v>
          </cell>
          <cell r="AP88">
            <v>0</v>
          </cell>
          <cell r="AQ88">
            <v>0</v>
          </cell>
        </row>
        <row r="90">
          <cell r="AN90">
            <v>-11962.692916995898</v>
          </cell>
          <cell r="AO90">
            <v>-14548.41808904969</v>
          </cell>
          <cell r="AP90">
            <v>-16558.747712749693</v>
          </cell>
          <cell r="AQ90">
            <v>-19541.243521707103</v>
          </cell>
        </row>
        <row r="98">
          <cell r="AN98">
            <v>325.05778000000004</v>
          </cell>
          <cell r="AO98">
            <v>325.05778000000004</v>
          </cell>
          <cell r="AP98">
            <v>325.05778000000004</v>
          </cell>
          <cell r="AQ98">
            <v>325.05778000000004</v>
          </cell>
        </row>
        <row r="99">
          <cell r="AN99">
            <v>0</v>
          </cell>
          <cell r="AO99">
            <v>0</v>
          </cell>
          <cell r="AP99">
            <v>0</v>
          </cell>
          <cell r="AQ99">
            <v>0</v>
          </cell>
        </row>
        <row r="100">
          <cell r="AN100">
            <v>0</v>
          </cell>
          <cell r="AO100">
            <v>0</v>
          </cell>
          <cell r="AP100">
            <v>0</v>
          </cell>
          <cell r="AQ100">
            <v>0</v>
          </cell>
        </row>
        <row r="102">
          <cell r="AN102">
            <v>0</v>
          </cell>
          <cell r="AO102">
            <v>0</v>
          </cell>
          <cell r="AP102">
            <v>0</v>
          </cell>
          <cell r="AQ102">
            <v>0</v>
          </cell>
        </row>
        <row r="103">
          <cell r="AN103">
            <v>0</v>
          </cell>
          <cell r="AO103">
            <v>0</v>
          </cell>
          <cell r="AP103">
            <v>0</v>
          </cell>
          <cell r="AQ103">
            <v>0</v>
          </cell>
        </row>
        <row r="104">
          <cell r="AN104">
            <v>0</v>
          </cell>
          <cell r="AO104">
            <v>0</v>
          </cell>
          <cell r="AP104">
            <v>0</v>
          </cell>
          <cell r="AQ104">
            <v>0</v>
          </cell>
        </row>
        <row r="108">
          <cell r="AN108">
            <v>516281.61102999997</v>
          </cell>
          <cell r="AO108">
            <v>516281.61102999997</v>
          </cell>
          <cell r="AP108">
            <v>516281.61102999997</v>
          </cell>
          <cell r="AQ108">
            <v>516281.61102999997</v>
          </cell>
        </row>
        <row r="111">
          <cell r="AN111">
            <v>0</v>
          </cell>
          <cell r="AO111">
            <v>0</v>
          </cell>
          <cell r="AP111">
            <v>0</v>
          </cell>
          <cell r="AQ111">
            <v>0</v>
          </cell>
        </row>
        <row r="113">
          <cell r="AN113">
            <v>0</v>
          </cell>
          <cell r="AO113">
            <v>0</v>
          </cell>
          <cell r="AP113">
            <v>0</v>
          </cell>
          <cell r="AQ113">
            <v>0</v>
          </cell>
        </row>
        <row r="114">
          <cell r="AN114">
            <v>0</v>
          </cell>
          <cell r="AO114">
            <v>0</v>
          </cell>
          <cell r="AP114">
            <v>0</v>
          </cell>
          <cell r="AQ114">
            <v>0</v>
          </cell>
        </row>
        <row r="116">
          <cell r="AN116">
            <v>-57893.934420000005</v>
          </cell>
          <cell r="AO116">
            <v>-88380.840140236527</v>
          </cell>
          <cell r="AP116">
            <v>-94497.161257207918</v>
          </cell>
          <cell r="AQ116">
            <v>-102142.56265342217</v>
          </cell>
        </row>
        <row r="117">
          <cell r="AN117">
            <v>-725611.80786000006</v>
          </cell>
          <cell r="AO117">
            <v>-343390.72648511111</v>
          </cell>
          <cell r="AP117">
            <v>-373390.72648511111</v>
          </cell>
          <cell r="AQ117">
            <v>-410590.72648511111</v>
          </cell>
        </row>
        <row r="118">
          <cell r="AN118">
            <v>0</v>
          </cell>
          <cell r="AO118">
            <v>0</v>
          </cell>
          <cell r="AP118">
            <v>0</v>
          </cell>
          <cell r="AQ118">
            <v>0</v>
          </cell>
        </row>
        <row r="119">
          <cell r="AN119">
            <v>0</v>
          </cell>
          <cell r="AO119">
            <v>0</v>
          </cell>
          <cell r="AP119">
            <v>0</v>
          </cell>
          <cell r="AQ119">
            <v>0</v>
          </cell>
        </row>
        <row r="125">
          <cell r="AN125">
            <v>-70339.334300000002</v>
          </cell>
          <cell r="AO125">
            <v>-47738.180412264264</v>
          </cell>
          <cell r="AP125">
            <v>-51041.860717611278</v>
          </cell>
          <cell r="AQ125">
            <v>-55171.46109929504</v>
          </cell>
        </row>
        <row r="272">
          <cell r="E272">
            <v>26385.931829999998</v>
          </cell>
          <cell r="F272">
            <v>28202.584432000003</v>
          </cell>
          <cell r="G272">
            <v>29693.33030899999</v>
          </cell>
          <cell r="H272">
            <v>32193.39473036737</v>
          </cell>
          <cell r="I272">
            <v>123269.24249751586</v>
          </cell>
          <cell r="J272">
            <v>113947.40363325912</v>
          </cell>
          <cell r="K272">
            <v>98986.111256406235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7"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9"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3"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6"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90"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3"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6"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300"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5"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E324">
            <v>374.63795000000005</v>
          </cell>
          <cell r="F324">
            <v>513.23344999999995</v>
          </cell>
          <cell r="G324">
            <v>363.60580000000004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30">
          <cell r="E330">
            <v>15951.245116999999</v>
          </cell>
          <cell r="F330">
            <v>21615.703920033011</v>
          </cell>
          <cell r="G330">
            <v>15061.118616920987</v>
          </cell>
          <cell r="H330">
            <v>16821.287730685195</v>
          </cell>
          <cell r="I330">
            <v>77292.368919403947</v>
          </cell>
          <cell r="J330">
            <v>91353.642867183502</v>
          </cell>
          <cell r="K330">
            <v>110186.71461098405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60">
          <cell r="E360">
            <v>0</v>
          </cell>
          <cell r="F360">
            <v>0</v>
          </cell>
          <cell r="G360">
            <v>0</v>
          </cell>
          <cell r="H360">
            <v>473.71573490471746</v>
          </cell>
          <cell r="I360">
            <v>1475.5834723807989</v>
          </cell>
          <cell r="J360">
            <v>1739.3743134465883</v>
          </cell>
          <cell r="K360">
            <v>1878.5242585954541</v>
          </cell>
        </row>
        <row r="367">
          <cell r="E367">
            <v>4455.3238500000007</v>
          </cell>
          <cell r="F367">
            <v>8445.6856399999997</v>
          </cell>
          <cell r="G367">
            <v>4632.1732699999993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76">
          <cell r="E376">
            <v>-1558.2797137499999</v>
          </cell>
          <cell r="F376">
            <v>-1547.1501002500006</v>
          </cell>
          <cell r="G376">
            <v>-3577.8473692500006</v>
          </cell>
          <cell r="H376">
            <v>10440.364959904353</v>
          </cell>
          <cell r="I376">
            <v>18645.004000000001</v>
          </cell>
          <cell r="J376">
            <v>23619.504000000004</v>
          </cell>
          <cell r="K376">
            <v>27047.803999999993</v>
          </cell>
        </row>
        <row r="382">
          <cell r="E382">
            <v>-1306.6614200000004</v>
          </cell>
          <cell r="F382">
            <v>-408.43024000000003</v>
          </cell>
          <cell r="G382">
            <v>1980.0479600000017</v>
          </cell>
          <cell r="H382">
            <v>-650.11772091886826</v>
          </cell>
          <cell r="I382">
            <v>-2596.6249699698319</v>
          </cell>
          <cell r="J382">
            <v>-2831.3091603725134</v>
          </cell>
          <cell r="K382">
            <v>-3156.4482110492204</v>
          </cell>
        </row>
        <row r="384">
          <cell r="E384">
            <v>-168.88324</v>
          </cell>
          <cell r="F384">
            <v>-156.96593999999999</v>
          </cell>
          <cell r="G384">
            <v>-491.5461699999999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6">
          <cell r="E386">
            <v>-14806.841854990871</v>
          </cell>
          <cell r="F386">
            <v>-15424.508851516119</v>
          </cell>
          <cell r="G386">
            <v>-14776.679110035526</v>
          </cell>
          <cell r="H386">
            <v>-14284.171233075573</v>
          </cell>
          <cell r="I386">
            <v>-48585.133870097074</v>
          </cell>
          <cell r="J386">
            <v>-48778.67030995489</v>
          </cell>
          <cell r="K386">
            <v>-48350.497338153815</v>
          </cell>
        </row>
        <row r="387">
          <cell r="E387">
            <v>-4745.2771374795248</v>
          </cell>
          <cell r="F387">
            <v>-5964.4495668252985</v>
          </cell>
          <cell r="G387">
            <v>-5507.7270089160211</v>
          </cell>
          <cell r="H387">
            <v>-12457.191301137882</v>
          </cell>
          <cell r="I387">
            <v>-47187.208452078012</v>
          </cell>
          <cell r="J387">
            <v>-46531.367301772276</v>
          </cell>
          <cell r="K387">
            <v>-47029.410137568935</v>
          </cell>
        </row>
        <row r="388">
          <cell r="E388">
            <v>-629.32738610079116</v>
          </cell>
          <cell r="F388">
            <v>-731.88646506289126</v>
          </cell>
          <cell r="G388">
            <v>-708.18167693697785</v>
          </cell>
          <cell r="H388">
            <v>848.24015050841808</v>
          </cell>
          <cell r="I388">
            <v>11176.573797970324</v>
          </cell>
          <cell r="J388">
            <v>11457.495259008208</v>
          </cell>
          <cell r="K388">
            <v>11255.144048679143</v>
          </cell>
        </row>
        <row r="390">
          <cell r="E390">
            <v>65.044585999999995</v>
          </cell>
          <cell r="F390">
            <v>-0.59661199999999959</v>
          </cell>
          <cell r="G390">
            <v>2.5799409999999972</v>
          </cell>
          <cell r="H390">
            <v>13513.747406442159</v>
          </cell>
          <cell r="I390">
            <v>-2435.7739904502532</v>
          </cell>
          <cell r="J390">
            <v>-1777.9439200283739</v>
          </cell>
          <cell r="K390">
            <v>-4478.7126930181921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E392">
            <v>-232.87535999999992</v>
          </cell>
          <cell r="F392">
            <v>-2560.35331</v>
          </cell>
          <cell r="G392">
            <v>-3438.0155899999995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5"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E398">
            <v>0</v>
          </cell>
          <cell r="F398">
            <v>0</v>
          </cell>
          <cell r="G398">
            <v>6235.6537770000004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400">
          <cell r="E400">
            <v>-389.04382595308687</v>
          </cell>
          <cell r="F400">
            <v>-2618.3468518011332</v>
          </cell>
          <cell r="G400">
            <v>-4709.7858640780696</v>
          </cell>
          <cell r="H400">
            <v>-9003.4870050879581</v>
          </cell>
          <cell r="I400">
            <v>-19053.3509916365</v>
          </cell>
          <cell r="J400">
            <v>-35320.30254326931</v>
          </cell>
          <cell r="K400">
            <v>-32217.876466006168</v>
          </cell>
        </row>
      </sheetData>
      <sheetData sheetId="21">
        <row r="10">
          <cell r="AN10">
            <v>0</v>
          </cell>
          <cell r="AO10">
            <v>0</v>
          </cell>
          <cell r="AP10">
            <v>0</v>
          </cell>
          <cell r="AQ10">
            <v>0</v>
          </cell>
        </row>
        <row r="12">
          <cell r="AN12">
            <v>0</v>
          </cell>
          <cell r="AO12">
            <v>0</v>
          </cell>
          <cell r="AP12">
            <v>0</v>
          </cell>
          <cell r="AQ12">
            <v>0</v>
          </cell>
        </row>
        <row r="13">
          <cell r="AN13">
            <v>0</v>
          </cell>
          <cell r="AO13">
            <v>0</v>
          </cell>
          <cell r="AP13">
            <v>0</v>
          </cell>
          <cell r="AQ13">
            <v>0</v>
          </cell>
        </row>
        <row r="15">
          <cell r="AN15">
            <v>0</v>
          </cell>
          <cell r="AO15">
            <v>0</v>
          </cell>
          <cell r="AP15">
            <v>0</v>
          </cell>
          <cell r="AQ15">
            <v>0</v>
          </cell>
        </row>
        <row r="31"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V31">
            <v>-1159393.92539</v>
          </cell>
          <cell r="AW31">
            <v>-1159393.92539</v>
          </cell>
          <cell r="AX31">
            <v>-1159393.92539</v>
          </cell>
          <cell r="AY31">
            <v>-1159393.92539</v>
          </cell>
        </row>
        <row r="32"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</row>
        <row r="33"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V33">
            <v>1159393.92539</v>
          </cell>
          <cell r="AW33">
            <v>1159393.92539</v>
          </cell>
          <cell r="AX33">
            <v>1159393.92539</v>
          </cell>
          <cell r="AY33">
            <v>1159393.92539</v>
          </cell>
        </row>
        <row r="41"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</row>
        <row r="46">
          <cell r="AN46">
            <v>3697000</v>
          </cell>
          <cell r="AO46">
            <v>4032307.6150000002</v>
          </cell>
          <cell r="AP46">
            <v>4389507.6150000002</v>
          </cell>
          <cell r="AQ46">
            <v>4948107.6150000002</v>
          </cell>
          <cell r="AV46">
            <v>3768652.3651700001</v>
          </cell>
          <cell r="AW46">
            <v>3878159.390956284</v>
          </cell>
          <cell r="AX46">
            <v>4211682.36569726</v>
          </cell>
          <cell r="AY46">
            <v>4670019.1903424654</v>
          </cell>
        </row>
        <row r="47"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</row>
        <row r="48"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</row>
        <row r="52"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</row>
        <row r="53"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</row>
        <row r="54"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</row>
        <row r="56"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</row>
        <row r="58"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</row>
        <row r="60">
          <cell r="AN60">
            <v>0</v>
          </cell>
          <cell r="AO60">
            <v>0</v>
          </cell>
          <cell r="AP60">
            <v>0</v>
          </cell>
          <cell r="AQ60">
            <v>0</v>
          </cell>
        </row>
        <row r="62">
          <cell r="AN62">
            <v>0</v>
          </cell>
          <cell r="AO62">
            <v>0</v>
          </cell>
          <cell r="AP62">
            <v>0</v>
          </cell>
          <cell r="AQ62">
            <v>0</v>
          </cell>
        </row>
        <row r="64">
          <cell r="AN64">
            <v>219000</v>
          </cell>
          <cell r="AO64">
            <v>219309.66550999999</v>
          </cell>
          <cell r="AP64">
            <v>219309.66550999999</v>
          </cell>
          <cell r="AQ64">
            <v>219309.66550999999</v>
          </cell>
        </row>
        <row r="67">
          <cell r="AN67">
            <v>0</v>
          </cell>
          <cell r="AO67">
            <v>0</v>
          </cell>
          <cell r="AP67">
            <v>0</v>
          </cell>
          <cell r="AQ67">
            <v>0</v>
          </cell>
        </row>
        <row r="74">
          <cell r="AN74">
            <v>0</v>
          </cell>
          <cell r="AO74">
            <v>0</v>
          </cell>
          <cell r="AP74">
            <v>0</v>
          </cell>
          <cell r="AQ74">
            <v>0</v>
          </cell>
        </row>
        <row r="75">
          <cell r="AN75">
            <v>0</v>
          </cell>
          <cell r="AO75">
            <v>0</v>
          </cell>
          <cell r="AP75">
            <v>0</v>
          </cell>
          <cell r="AQ75">
            <v>0</v>
          </cell>
        </row>
        <row r="77">
          <cell r="AN77">
            <v>0</v>
          </cell>
          <cell r="AO77">
            <v>0</v>
          </cell>
          <cell r="AP77">
            <v>0</v>
          </cell>
          <cell r="AQ77">
            <v>0</v>
          </cell>
        </row>
        <row r="88">
          <cell r="AN88">
            <v>0</v>
          </cell>
          <cell r="AO88">
            <v>0</v>
          </cell>
          <cell r="AP88">
            <v>0</v>
          </cell>
          <cell r="AQ88">
            <v>0</v>
          </cell>
        </row>
        <row r="90">
          <cell r="AN90">
            <v>-21903.940583025429</v>
          </cell>
          <cell r="AO90">
            <v>-28556.50608606813</v>
          </cell>
          <cell r="AP90">
            <v>-31679.562086147911</v>
          </cell>
          <cell r="AQ90">
            <v>-34914.269375951211</v>
          </cell>
        </row>
        <row r="98">
          <cell r="AN98">
            <v>0.30278000000000005</v>
          </cell>
          <cell r="AO98">
            <v>0.30278000000000005</v>
          </cell>
          <cell r="AP98">
            <v>0.30278000000000005</v>
          </cell>
          <cell r="AQ98">
            <v>0.30278000000000005</v>
          </cell>
        </row>
        <row r="99">
          <cell r="AN99">
            <v>0</v>
          </cell>
          <cell r="AO99">
            <v>0</v>
          </cell>
          <cell r="AP99">
            <v>0</v>
          </cell>
          <cell r="AQ99">
            <v>0</v>
          </cell>
        </row>
        <row r="100">
          <cell r="AN100">
            <v>0</v>
          </cell>
          <cell r="AO100">
            <v>0</v>
          </cell>
          <cell r="AP100">
            <v>0</v>
          </cell>
          <cell r="AQ100">
            <v>0</v>
          </cell>
        </row>
        <row r="102">
          <cell r="AN102">
            <v>0</v>
          </cell>
          <cell r="AO102">
            <v>0</v>
          </cell>
          <cell r="AP102">
            <v>0</v>
          </cell>
          <cell r="AQ102">
            <v>0</v>
          </cell>
        </row>
        <row r="103">
          <cell r="AN103">
            <v>0</v>
          </cell>
          <cell r="AO103">
            <v>0</v>
          </cell>
          <cell r="AP103">
            <v>0</v>
          </cell>
          <cell r="AQ103">
            <v>0</v>
          </cell>
        </row>
        <row r="104">
          <cell r="AN104">
            <v>0</v>
          </cell>
          <cell r="AO104">
            <v>0</v>
          </cell>
          <cell r="AP104">
            <v>0</v>
          </cell>
          <cell r="AQ104">
            <v>0</v>
          </cell>
        </row>
        <row r="108">
          <cell r="AN108">
            <v>12.845049999999999</v>
          </cell>
          <cell r="AO108">
            <v>12.845049999999999</v>
          </cell>
          <cell r="AP108">
            <v>12.845049999999999</v>
          </cell>
          <cell r="AQ108">
            <v>12.845049999999999</v>
          </cell>
        </row>
        <row r="111">
          <cell r="AN111">
            <v>0</v>
          </cell>
          <cell r="AO111">
            <v>0</v>
          </cell>
          <cell r="AP111">
            <v>0</v>
          </cell>
          <cell r="AQ111">
            <v>0</v>
          </cell>
        </row>
        <row r="113">
          <cell r="AN113">
            <v>0</v>
          </cell>
          <cell r="AO113">
            <v>0</v>
          </cell>
          <cell r="AP113">
            <v>0</v>
          </cell>
          <cell r="AQ113">
            <v>0</v>
          </cell>
        </row>
        <row r="114">
          <cell r="AN114">
            <v>0</v>
          </cell>
          <cell r="AO114">
            <v>0</v>
          </cell>
          <cell r="AP114">
            <v>0</v>
          </cell>
          <cell r="AQ114">
            <v>0</v>
          </cell>
        </row>
        <row r="116">
          <cell r="AN116">
            <v>-76501.734920000003</v>
          </cell>
          <cell r="AO116">
            <v>-109046.47641459988</v>
          </cell>
          <cell r="AP116">
            <v>-126419.69694159723</v>
          </cell>
          <cell r="AQ116">
            <v>-147925.38254540463</v>
          </cell>
        </row>
        <row r="117">
          <cell r="AN117">
            <v>-854631.59870000009</v>
          </cell>
          <cell r="AO117">
            <v>-1111807.7903493366</v>
          </cell>
          <cell r="AP117">
            <v>-1288940.3540090143</v>
          </cell>
          <cell r="AQ117">
            <v>-1508206.3915489069</v>
          </cell>
        </row>
        <row r="118">
          <cell r="AN118">
            <v>0</v>
          </cell>
          <cell r="AO118">
            <v>0</v>
          </cell>
          <cell r="AP118">
            <v>0</v>
          </cell>
          <cell r="AQ118">
            <v>0</v>
          </cell>
        </row>
        <row r="119">
          <cell r="AN119">
            <v>0</v>
          </cell>
          <cell r="AO119">
            <v>0</v>
          </cell>
          <cell r="AP119">
            <v>0</v>
          </cell>
          <cell r="AQ119">
            <v>0</v>
          </cell>
        </row>
        <row r="125">
          <cell r="AN125">
            <v>-48720.483070000002</v>
          </cell>
          <cell r="AO125">
            <v>-72145.733236063461</v>
          </cell>
          <cell r="AP125">
            <v>-83639.94904938835</v>
          </cell>
          <cell r="AQ125">
            <v>-97868.225905688567</v>
          </cell>
        </row>
        <row r="272">
          <cell r="E272">
            <v>12704.131902000001</v>
          </cell>
          <cell r="F272">
            <v>14884.229633999996</v>
          </cell>
          <cell r="G272">
            <v>15926.457942000005</v>
          </cell>
          <cell r="H272">
            <v>16280.971473731548</v>
          </cell>
          <cell r="I272">
            <v>66702.244940165416</v>
          </cell>
          <cell r="J272">
            <v>75879.423453363008</v>
          </cell>
          <cell r="K272">
            <v>86891.170993770225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7"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9"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3"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6"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90"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3"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6"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300"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5"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23">
          <cell r="E323">
            <v>106.26253000000001</v>
          </cell>
          <cell r="F323">
            <v>154.52879000000001</v>
          </cell>
          <cell r="G323">
            <v>188.68974000000003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E324">
            <v>667.58169999999996</v>
          </cell>
          <cell r="F324">
            <v>617.4534900000001</v>
          </cell>
          <cell r="G324">
            <v>628.56322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30">
          <cell r="E330">
            <v>5839.6163029999998</v>
          </cell>
          <cell r="F330">
            <v>4037.4032305459978</v>
          </cell>
          <cell r="G330">
            <v>5680.5324655000031</v>
          </cell>
          <cell r="H330">
            <v>2338.9683665585817</v>
          </cell>
          <cell r="I330">
            <v>19094.211621355109</v>
          </cell>
          <cell r="J330">
            <v>14264.87860397907</v>
          </cell>
          <cell r="K330">
            <v>11186.03957950822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50"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60">
          <cell r="E360">
            <v>0</v>
          </cell>
          <cell r="F360">
            <v>0</v>
          </cell>
          <cell r="G360">
            <v>0</v>
          </cell>
          <cell r="H360">
            <v>432.60625380956935</v>
          </cell>
          <cell r="I360">
            <v>2598.69552029844</v>
          </cell>
          <cell r="J360">
            <v>3188.4867998783507</v>
          </cell>
          <cell r="K360">
            <v>3730.5295560029203</v>
          </cell>
        </row>
        <row r="367">
          <cell r="E367">
            <v>84.380210000000005</v>
          </cell>
          <cell r="F367">
            <v>564.70560999999998</v>
          </cell>
          <cell r="G367">
            <v>201.81907999999999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76">
          <cell r="E376">
            <v>3.2000000000000001E-2</v>
          </cell>
          <cell r="F376">
            <v>2.0099999999999979E-3</v>
          </cell>
          <cell r="G376">
            <v>0</v>
          </cell>
          <cell r="H376">
            <v>808.77148714285715</v>
          </cell>
          <cell r="I376">
            <v>3330</v>
          </cell>
          <cell r="J376">
            <v>4387.5</v>
          </cell>
          <cell r="K376">
            <v>5628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4">
          <cell r="E384">
            <v>-267.25927999999999</v>
          </cell>
          <cell r="F384">
            <v>-267.95559000000003</v>
          </cell>
          <cell r="G384">
            <v>-275.96306000000004</v>
          </cell>
          <cell r="H384">
            <v>-258.28661322067086</v>
          </cell>
          <cell r="I384">
            <v>-1101.1478495578433</v>
          </cell>
          <cell r="J384">
            <v>-1232.5199930601309</v>
          </cell>
          <cell r="K384">
            <v>-1424.0494238296446</v>
          </cell>
        </row>
        <row r="386">
          <cell r="E386">
            <v>-4622.1230599999999</v>
          </cell>
          <cell r="F386">
            <v>-4330.9757100000015</v>
          </cell>
          <cell r="G386">
            <v>-4213.2088699999986</v>
          </cell>
          <cell r="H386">
            <v>-5917.6431210608926</v>
          </cell>
          <cell r="I386">
            <v>-22184.977484564864</v>
          </cell>
          <cell r="J386">
            <v>-22606.156605616361</v>
          </cell>
          <cell r="K386">
            <v>-23002.895741490298</v>
          </cell>
        </row>
        <row r="387">
          <cell r="E387">
            <v>-1626.13319</v>
          </cell>
          <cell r="F387">
            <v>-2400.44877</v>
          </cell>
          <cell r="G387">
            <v>-1668.1952700000006</v>
          </cell>
          <cell r="H387">
            <v>-2498.2378921381187</v>
          </cell>
          <cell r="I387">
            <v>-11450.081101848722</v>
          </cell>
          <cell r="J387">
            <v>-11316.779117288575</v>
          </cell>
          <cell r="K387">
            <v>-11595.152708941845</v>
          </cell>
        </row>
        <row r="388">
          <cell r="E388">
            <v>-162.19728000000001</v>
          </cell>
          <cell r="F388">
            <v>-180.23125000000002</v>
          </cell>
          <cell r="G388">
            <v>-161.24743000000001</v>
          </cell>
          <cell r="H388">
            <v>-870.70051424038411</v>
          </cell>
          <cell r="I388">
            <v>-1242.5465452683761</v>
          </cell>
          <cell r="J388">
            <v>-1039.7344583079471</v>
          </cell>
          <cell r="K388">
            <v>-1071.2005357523387</v>
          </cell>
        </row>
        <row r="390">
          <cell r="E390">
            <v>0</v>
          </cell>
          <cell r="F390">
            <v>1400.8430700000001</v>
          </cell>
          <cell r="G390">
            <v>0</v>
          </cell>
          <cell r="H390">
            <v>-3102.6959552657263</v>
          </cell>
          <cell r="I390">
            <v>-10475.145234501948</v>
          </cell>
          <cell r="J390">
            <v>-6645.8643898410965</v>
          </cell>
          <cell r="K390">
            <v>-6337.4579951717105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E392">
            <v>-3698.31385</v>
          </cell>
          <cell r="F392">
            <v>146.97859999999991</v>
          </cell>
          <cell r="G392">
            <v>-1132.0949799999999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5"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400">
          <cell r="E400">
            <v>-3048.0988585360001</v>
          </cell>
          <cell r="F400">
            <v>-5185.5567696691987</v>
          </cell>
          <cell r="G400">
            <v>-5306.317658820004</v>
          </cell>
          <cell r="H400">
            <v>-2524.8137198608665</v>
          </cell>
          <cell r="I400">
            <v>-15844.938853127022</v>
          </cell>
          <cell r="J400">
            <v>-19207.732002587207</v>
          </cell>
          <cell r="K400">
            <v>-22401.744303433421</v>
          </cell>
        </row>
      </sheetData>
      <sheetData sheetId="22">
        <row r="272"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</sheetData>
      <sheetData sheetId="23">
        <row r="272"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</sheetData>
      <sheetData sheetId="24">
        <row r="10">
          <cell r="AN10">
            <v>91347.275258573703</v>
          </cell>
          <cell r="AO10">
            <v>86064.377392962691</v>
          </cell>
          <cell r="AP10">
            <v>86162.912264616345</v>
          </cell>
          <cell r="AQ10">
            <v>86239.186281240312</v>
          </cell>
        </row>
        <row r="12">
          <cell r="AN12">
            <v>2908969.9419748648</v>
          </cell>
          <cell r="AO12">
            <v>1428492.919617865</v>
          </cell>
          <cell r="AP12">
            <v>1373725.946316442</v>
          </cell>
          <cell r="AQ12">
            <v>1382638.811021891</v>
          </cell>
        </row>
        <row r="13">
          <cell r="AN13">
            <v>0</v>
          </cell>
          <cell r="AO13">
            <v>0</v>
          </cell>
          <cell r="AP13">
            <v>0</v>
          </cell>
          <cell r="AQ13">
            <v>0</v>
          </cell>
        </row>
        <row r="15">
          <cell r="AN15">
            <v>781216.00562355504</v>
          </cell>
          <cell r="AO15">
            <v>783285.03587860859</v>
          </cell>
          <cell r="AP15">
            <v>783417.83982487756</v>
          </cell>
          <cell r="AQ15">
            <v>783531.06420571823</v>
          </cell>
        </row>
        <row r="31">
          <cell r="AN31">
            <v>254809.0992193564</v>
          </cell>
          <cell r="AO31">
            <v>201896.72739830034</v>
          </cell>
          <cell r="AP31">
            <v>159092.95863830246</v>
          </cell>
          <cell r="AQ31">
            <v>124417.08817934433</v>
          </cell>
          <cell r="AV31">
            <v>3809340.2352202763</v>
          </cell>
          <cell r="AW31">
            <v>3605284.3055178127</v>
          </cell>
          <cell r="AX31">
            <v>2975732.4036008664</v>
          </cell>
          <cell r="AY31">
            <v>2105276.9565720949</v>
          </cell>
        </row>
        <row r="32">
          <cell r="AN32">
            <v>5196.0570600000001</v>
          </cell>
          <cell r="AO32">
            <v>5196.0570600000001</v>
          </cell>
          <cell r="AP32">
            <v>5196.0570600000001</v>
          </cell>
          <cell r="AQ32">
            <v>5196.0570600000001</v>
          </cell>
          <cell r="AV32">
            <v>5199.2538911956517</v>
          </cell>
          <cell r="AW32">
            <v>5196.0570600000001</v>
          </cell>
          <cell r="AX32">
            <v>5196.0570600000001</v>
          </cell>
          <cell r="AY32">
            <v>5196.0570600000001</v>
          </cell>
        </row>
        <row r="33"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V33">
            <v>-3544884.0792600005</v>
          </cell>
          <cell r="AW33">
            <v>-3556573.5052500004</v>
          </cell>
          <cell r="AX33">
            <v>-3550728.7922550002</v>
          </cell>
          <cell r="AY33">
            <v>-3553651.1487525003</v>
          </cell>
        </row>
        <row r="41">
          <cell r="AN41">
            <v>93945.133339724664</v>
          </cell>
          <cell r="AO41">
            <v>73544.854829692616</v>
          </cell>
          <cell r="AP41">
            <v>57542.178676361284</v>
          </cell>
          <cell r="AQ41">
            <v>44987.546823804492</v>
          </cell>
          <cell r="AV41">
            <v>95805.062973268403</v>
          </cell>
          <cell r="AW41">
            <v>83300.405408981198</v>
          </cell>
          <cell r="AX41">
            <v>65178.633170732326</v>
          </cell>
          <cell r="AY41">
            <v>50979.022597062263</v>
          </cell>
        </row>
        <row r="46">
          <cell r="AN46">
            <v>2470277.1071850564</v>
          </cell>
          <cell r="AO46">
            <v>2662925.8384980904</v>
          </cell>
          <cell r="AP46">
            <v>2701729.7658676873</v>
          </cell>
          <cell r="AQ46">
            <v>2745597.6544097587</v>
          </cell>
          <cell r="AV46">
            <v>2061090.9984775123</v>
          </cell>
          <cell r="AW46">
            <v>2867020.9425354847</v>
          </cell>
          <cell r="AX46">
            <v>2227708.5265909834</v>
          </cell>
          <cell r="AY46">
            <v>3170667.3881905689</v>
          </cell>
        </row>
        <row r="47">
          <cell r="AN47">
            <v>300000</v>
          </cell>
          <cell r="AO47">
            <v>1300000</v>
          </cell>
          <cell r="AP47">
            <v>3300000</v>
          </cell>
          <cell r="AQ47">
            <v>3300000</v>
          </cell>
          <cell r="AV47">
            <v>300000</v>
          </cell>
          <cell r="AW47">
            <v>1050683.0601092896</v>
          </cell>
          <cell r="AX47">
            <v>3008904.1095890412</v>
          </cell>
          <cell r="AY47">
            <v>3300000</v>
          </cell>
        </row>
        <row r="48"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</row>
        <row r="52"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</row>
        <row r="53"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</row>
        <row r="54"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</row>
        <row r="56"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</row>
        <row r="58">
          <cell r="AN58">
            <v>44315.398451502006</v>
          </cell>
          <cell r="AO58">
            <v>28075.594838467623</v>
          </cell>
          <cell r="AP58">
            <v>23628.011698433056</v>
          </cell>
          <cell r="AQ58">
            <v>19173.288738236351</v>
          </cell>
          <cell r="AV58">
            <v>-22285.104929105953</v>
          </cell>
          <cell r="AW58">
            <v>-39220.667723856306</v>
          </cell>
          <cell r="AX58">
            <v>-63155.673125793553</v>
          </cell>
          <cell r="AY58">
            <v>-82057.048477232791</v>
          </cell>
        </row>
        <row r="60">
          <cell r="AN60">
            <v>0</v>
          </cell>
          <cell r="AO60">
            <v>0</v>
          </cell>
          <cell r="AP60">
            <v>0</v>
          </cell>
          <cell r="AQ60">
            <v>0</v>
          </cell>
        </row>
        <row r="62">
          <cell r="AN62">
            <v>0</v>
          </cell>
          <cell r="AO62">
            <v>0</v>
          </cell>
          <cell r="AP62">
            <v>0</v>
          </cell>
          <cell r="AQ62">
            <v>0</v>
          </cell>
        </row>
        <row r="64">
          <cell r="AN64">
            <v>16610336.291802678</v>
          </cell>
          <cell r="AO64">
            <v>18492351.813134249</v>
          </cell>
          <cell r="AP64">
            <v>18932082.424079873</v>
          </cell>
          <cell r="AQ64">
            <v>18837077.384081699</v>
          </cell>
        </row>
        <row r="67">
          <cell r="AN67">
            <v>0</v>
          </cell>
          <cell r="AO67">
            <v>0</v>
          </cell>
          <cell r="AP67">
            <v>0</v>
          </cell>
          <cell r="AQ67">
            <v>0</v>
          </cell>
        </row>
        <row r="74">
          <cell r="AN74">
            <v>0</v>
          </cell>
          <cell r="AO74">
            <v>0</v>
          </cell>
          <cell r="AP74">
            <v>0</v>
          </cell>
          <cell r="AQ74">
            <v>0</v>
          </cell>
        </row>
        <row r="75">
          <cell r="AN75">
            <v>805975.99472975882</v>
          </cell>
          <cell r="AO75">
            <v>711204.43455312611</v>
          </cell>
          <cell r="AP75">
            <v>687842.6214737345</v>
          </cell>
          <cell r="AQ75">
            <v>678929.76876828575</v>
          </cell>
        </row>
        <row r="77">
          <cell r="AN77">
            <v>0</v>
          </cell>
          <cell r="AO77">
            <v>0</v>
          </cell>
          <cell r="AP77">
            <v>0</v>
          </cell>
          <cell r="AQ77">
            <v>0</v>
          </cell>
        </row>
        <row r="88">
          <cell r="AN88">
            <v>234052.40455074998</v>
          </cell>
          <cell r="AO88">
            <v>193031.53431965612</v>
          </cell>
          <cell r="AP88">
            <v>170745.8011149815</v>
          </cell>
          <cell r="AQ88">
            <v>159879.59482300852</v>
          </cell>
        </row>
        <row r="90">
          <cell r="AN90">
            <v>-130455.71318968314</v>
          </cell>
          <cell r="AO90">
            <v>-133765.39412611895</v>
          </cell>
          <cell r="AP90">
            <v>-137972.59848624683</v>
          </cell>
          <cell r="AQ90">
            <v>-144052.82171357132</v>
          </cell>
        </row>
        <row r="98">
          <cell r="AN98">
            <v>2138958.2581379022</v>
          </cell>
          <cell r="AO98">
            <v>1480938.328793376</v>
          </cell>
          <cell r="AP98">
            <v>585123.05320918909</v>
          </cell>
          <cell r="AQ98">
            <v>149696.43321458518</v>
          </cell>
        </row>
        <row r="99">
          <cell r="AN99">
            <v>283060.17773267924</v>
          </cell>
          <cell r="AO99">
            <v>282599.93155384908</v>
          </cell>
          <cell r="AP99">
            <v>282600.39035104221</v>
          </cell>
          <cell r="AQ99">
            <v>282600.398985415</v>
          </cell>
        </row>
        <row r="100">
          <cell r="AN100">
            <v>-23538.982569999993</v>
          </cell>
          <cell r="AO100">
            <v>-23538.982569999993</v>
          </cell>
          <cell r="AP100">
            <v>-23538.982569999993</v>
          </cell>
          <cell r="AQ100">
            <v>-23538.982569999993</v>
          </cell>
        </row>
        <row r="102">
          <cell r="AN102">
            <v>1499111.7424910001</v>
          </cell>
          <cell r="AO102">
            <v>1860111.7424909999</v>
          </cell>
          <cell r="AP102">
            <v>1945111.7424909999</v>
          </cell>
          <cell r="AQ102">
            <v>1997111.7424909999</v>
          </cell>
        </row>
        <row r="103">
          <cell r="AN103">
            <v>0</v>
          </cell>
          <cell r="AO103">
            <v>0</v>
          </cell>
          <cell r="AP103">
            <v>0</v>
          </cell>
          <cell r="AQ103">
            <v>0</v>
          </cell>
        </row>
        <row r="104">
          <cell r="AN104">
            <v>-43284.767771342595</v>
          </cell>
          <cell r="AO104">
            <v>-46875.333652009795</v>
          </cell>
          <cell r="AP104">
            <v>-46877.444436876351</v>
          </cell>
          <cell r="AQ104">
            <v>-46877.425667362768</v>
          </cell>
        </row>
        <row r="108">
          <cell r="AN108">
            <v>13278.195849006064</v>
          </cell>
          <cell r="AO108">
            <v>705571.70795057109</v>
          </cell>
          <cell r="AP108">
            <v>1627622.0726735014</v>
          </cell>
          <cell r="AQ108">
            <v>2081364.9926875946</v>
          </cell>
        </row>
        <row r="111">
          <cell r="AN111">
            <v>0</v>
          </cell>
          <cell r="AO111">
            <v>0</v>
          </cell>
          <cell r="AP111">
            <v>0</v>
          </cell>
          <cell r="AQ111">
            <v>0</v>
          </cell>
        </row>
        <row r="113">
          <cell r="AN113">
            <v>-3232060.3245538902</v>
          </cell>
          <cell r="AO113">
            <v>-3275011.3008838929</v>
          </cell>
          <cell r="AP113">
            <v>-3275011.3008838925</v>
          </cell>
          <cell r="AQ113">
            <v>-3275011.3008838925</v>
          </cell>
        </row>
        <row r="114">
          <cell r="AN114">
            <v>-12922295.253118098</v>
          </cell>
          <cell r="AO114">
            <v>-10928605.392374642</v>
          </cell>
          <cell r="AP114">
            <v>-9467980.005201688</v>
          </cell>
          <cell r="AQ114">
            <v>-9063927.0719437115</v>
          </cell>
        </row>
        <row r="116">
          <cell r="AN116">
            <v>-137277.07004328165</v>
          </cell>
          <cell r="AO116">
            <v>-120405.37646492384</v>
          </cell>
          <cell r="AP116">
            <v>-105538.29953653878</v>
          </cell>
          <cell r="AQ116">
            <v>-92437.659973115893</v>
          </cell>
        </row>
        <row r="117">
          <cell r="AN117">
            <v>-1239014.6250066608</v>
          </cell>
          <cell r="AO117">
            <v>-1297106.0443357581</v>
          </cell>
          <cell r="AP117">
            <v>-1314320.558732515</v>
          </cell>
          <cell r="AQ117">
            <v>-1343359.2382157664</v>
          </cell>
        </row>
        <row r="118">
          <cell r="AN118">
            <v>0</v>
          </cell>
          <cell r="AO118">
            <v>0</v>
          </cell>
          <cell r="AP118">
            <v>0</v>
          </cell>
          <cell r="AQ118">
            <v>0</v>
          </cell>
        </row>
        <row r="119">
          <cell r="AN119">
            <v>-3159057.6725936797</v>
          </cell>
          <cell r="AO119">
            <v>-3709057.6725936797</v>
          </cell>
          <cell r="AP119">
            <v>-3709057.6725936797</v>
          </cell>
          <cell r="AQ119">
            <v>-3709057.6725936797</v>
          </cell>
        </row>
        <row r="125">
          <cell r="AN125">
            <v>463721.42065656005</v>
          </cell>
          <cell r="AO125">
            <v>524776.07970892568</v>
          </cell>
          <cell r="AP125">
            <v>543644.26943686954</v>
          </cell>
          <cell r="AQ125">
            <v>574062.55516417068</v>
          </cell>
        </row>
        <row r="272">
          <cell r="E272">
            <v>70337.826865399969</v>
          </cell>
          <cell r="F272">
            <v>59163.749152469856</v>
          </cell>
          <cell r="G272">
            <v>46567.495359019653</v>
          </cell>
          <cell r="H272">
            <v>66326.764519359072</v>
          </cell>
          <cell r="I272">
            <v>50224.973341362987</v>
          </cell>
          <cell r="J272">
            <v>-10690.331435701097</v>
          </cell>
          <cell r="K272">
            <v>-14989.507377243004</v>
          </cell>
        </row>
        <row r="274">
          <cell r="E274">
            <v>1730.8910600000002</v>
          </cell>
          <cell r="F274">
            <v>1790.32177</v>
          </cell>
          <cell r="G274">
            <v>2011.8995199999988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7">
          <cell r="E277">
            <v>19113.49928</v>
          </cell>
          <cell r="F277">
            <v>10142.189339999999</v>
          </cell>
          <cell r="G277">
            <v>10993.547369999998</v>
          </cell>
          <cell r="H277">
            <v>11551.371474301443</v>
          </cell>
          <cell r="I277">
            <v>21434.424618986028</v>
          </cell>
          <cell r="J277">
            <v>20711.586667580774</v>
          </cell>
          <cell r="K277">
            <v>23123.065232939669</v>
          </cell>
        </row>
        <row r="279"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3"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6"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90"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3"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6"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300"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2">
          <cell r="E302">
            <v>2042.5142399999991</v>
          </cell>
          <cell r="F302">
            <v>30563.20968</v>
          </cell>
          <cell r="G302">
            <v>4612.0339799999974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5">
          <cell r="E305">
            <v>0</v>
          </cell>
          <cell r="F305">
            <v>0</v>
          </cell>
          <cell r="G305">
            <v>0</v>
          </cell>
          <cell r="H305">
            <v>-9048.80998</v>
          </cell>
          <cell r="I305">
            <v>-38245.869787880678</v>
          </cell>
          <cell r="J305">
            <v>-47026.776378562194</v>
          </cell>
          <cell r="K305">
            <v>-52478.18098690702</v>
          </cell>
        </row>
        <row r="307">
          <cell r="E307">
            <v>-73.694130000000001</v>
          </cell>
          <cell r="F307">
            <v>-97.459829999999997</v>
          </cell>
          <cell r="G307">
            <v>-64.507940000000005</v>
          </cell>
          <cell r="H307">
            <v>0.45</v>
          </cell>
          <cell r="I307">
            <v>1.8</v>
          </cell>
          <cell r="J307">
            <v>1.8</v>
          </cell>
          <cell r="K307">
            <v>1.8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23">
          <cell r="E323">
            <v>2241.67182</v>
          </cell>
          <cell r="F323">
            <v>2198.7102899999995</v>
          </cell>
          <cell r="G323">
            <v>1257.8547400000002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E324">
            <v>139.11894000000001</v>
          </cell>
          <cell r="F324">
            <v>139.53755000000001</v>
          </cell>
          <cell r="G324">
            <v>135.01168000000001</v>
          </cell>
          <cell r="H324">
            <v>28.385999999999999</v>
          </cell>
          <cell r="I324">
            <v>113.544</v>
          </cell>
          <cell r="J324">
            <v>113.544</v>
          </cell>
          <cell r="K324">
            <v>113.544</v>
          </cell>
        </row>
        <row r="330">
          <cell r="E330">
            <v>543.94692217000204</v>
          </cell>
          <cell r="F330">
            <v>494.1782672509982</v>
          </cell>
          <cell r="G330">
            <v>1946.7244862590117</v>
          </cell>
          <cell r="H330">
            <v>-7790.488063104197</v>
          </cell>
          <cell r="I330">
            <v>-8897.0040442279878</v>
          </cell>
          <cell r="J330">
            <v>-10349.489826335815</v>
          </cell>
          <cell r="K330">
            <v>-11570.344070669744</v>
          </cell>
        </row>
        <row r="334">
          <cell r="E334">
            <v>-16.536000000000001</v>
          </cell>
          <cell r="F334">
            <v>31.157</v>
          </cell>
          <cell r="G334">
            <v>12.201000000000001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40">
          <cell r="E340">
            <v>-634.02717000000007</v>
          </cell>
          <cell r="F340">
            <v>-414.95605999999987</v>
          </cell>
          <cell r="G340">
            <v>-35.153859999999682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50">
          <cell r="E350">
            <v>-344.40501</v>
          </cell>
          <cell r="F350">
            <v>-437.58628999999996</v>
          </cell>
          <cell r="G350">
            <v>-674.98414000000002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E351">
            <v>-1697.37013</v>
          </cell>
          <cell r="F351">
            <v>-1748.2314199999996</v>
          </cell>
          <cell r="G351">
            <v>-1969.4518699999999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7">
          <cell r="E357">
            <v>7150.9317799999981</v>
          </cell>
          <cell r="F357">
            <v>7059.5326599999989</v>
          </cell>
          <cell r="G357">
            <v>7260.252559999999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60">
          <cell r="E360">
            <v>-827.28164943972843</v>
          </cell>
          <cell r="F360">
            <v>-4881.065250781342</v>
          </cell>
          <cell r="G360">
            <v>-9542.350804388554</v>
          </cell>
          <cell r="H360">
            <v>9460.5749808200726</v>
          </cell>
          <cell r="I360">
            <v>4774.0361974275093</v>
          </cell>
          <cell r="J360">
            <v>6099.6212857702831</v>
          </cell>
          <cell r="K360">
            <v>4398.1672811565923</v>
          </cell>
        </row>
        <row r="367">
          <cell r="E367">
            <v>27949.69879351975</v>
          </cell>
          <cell r="F367">
            <v>11124.576304531354</v>
          </cell>
          <cell r="G367">
            <v>15681.791044888483</v>
          </cell>
          <cell r="H367">
            <v>-989.26158936999991</v>
          </cell>
          <cell r="I367">
            <v>1980.0000000000005</v>
          </cell>
          <cell r="J367">
            <v>5602.4999999999991</v>
          </cell>
          <cell r="K367">
            <v>8516.7999999999993</v>
          </cell>
        </row>
        <row r="376">
          <cell r="E376">
            <v>2113.9519277500008</v>
          </cell>
          <cell r="F376">
            <v>1620.9872748599994</v>
          </cell>
          <cell r="G376">
            <v>941.63841637001042</v>
          </cell>
          <cell r="H376">
            <v>22615.206928240776</v>
          </cell>
          <cell r="I376">
            <v>19674.03700383121</v>
          </cell>
          <cell r="J376">
            <v>19879.957008315519</v>
          </cell>
          <cell r="K376">
            <v>20669.911321236341</v>
          </cell>
        </row>
        <row r="382">
          <cell r="E382">
            <v>-1695.8159538799964</v>
          </cell>
          <cell r="F382">
            <v>-4711.918743069994</v>
          </cell>
          <cell r="G382">
            <v>-9919.6962899999744</v>
          </cell>
          <cell r="H382">
            <v>-891.13848339601714</v>
          </cell>
          <cell r="I382">
            <v>-6924.9161487664096</v>
          </cell>
          <cell r="J382">
            <v>-6104.8639522636604</v>
          </cell>
          <cell r="K382">
            <v>-6089.0637546086609</v>
          </cell>
        </row>
        <row r="384">
          <cell r="E384">
            <v>17335.263304759999</v>
          </cell>
          <cell r="F384">
            <v>-3087.8950985100291</v>
          </cell>
          <cell r="G384">
            <v>8987.464477330057</v>
          </cell>
          <cell r="H384">
            <v>-63581.488737767751</v>
          </cell>
          <cell r="I384">
            <v>-224081.71567710384</v>
          </cell>
          <cell r="J384">
            <v>-107606.04780528879</v>
          </cell>
          <cell r="K384">
            <v>7871.597142421997</v>
          </cell>
        </row>
        <row r="386">
          <cell r="E386">
            <v>-29322.026887668588</v>
          </cell>
          <cell r="F386">
            <v>-34060.767101856778</v>
          </cell>
          <cell r="G386">
            <v>-17800.531768172168</v>
          </cell>
          <cell r="H386">
            <v>-16269.906747514397</v>
          </cell>
          <cell r="I386">
            <v>-54315.338518794437</v>
          </cell>
          <cell r="J386">
            <v>-56437.820039725208</v>
          </cell>
          <cell r="K386">
            <v>-56961.199217045199</v>
          </cell>
        </row>
        <row r="387">
          <cell r="E387">
            <v>28517.773915562706</v>
          </cell>
          <cell r="F387">
            <v>42106.53502073152</v>
          </cell>
          <cell r="G387">
            <v>-24133.278982063581</v>
          </cell>
          <cell r="H387">
            <v>70157.34432195549</v>
          </cell>
          <cell r="I387">
            <v>269654.21198568947</v>
          </cell>
          <cell r="J387">
            <v>159701.59542450396</v>
          </cell>
          <cell r="K387">
            <v>44907.593403571191</v>
          </cell>
        </row>
        <row r="388">
          <cell r="E388">
            <v>-22950.922467931487</v>
          </cell>
          <cell r="F388">
            <v>-14171.755634200206</v>
          </cell>
          <cell r="G388">
            <v>18162.066188962312</v>
          </cell>
          <cell r="H388">
            <v>-12868.425259010846</v>
          </cell>
          <cell r="I388">
            <v>-37440.498932592243</v>
          </cell>
          <cell r="J388">
            <v>-35884.38384636418</v>
          </cell>
          <cell r="K388">
            <v>-35528.639209332003</v>
          </cell>
        </row>
        <row r="390">
          <cell r="E390">
            <v>1441.1678401328463</v>
          </cell>
          <cell r="F390">
            <v>11549.671014270005</v>
          </cell>
          <cell r="G390">
            <v>-559.19459865000704</v>
          </cell>
          <cell r="H390">
            <v>-1305.1471242294169</v>
          </cell>
          <cell r="I390">
            <v>4655.9984169609916</v>
          </cell>
          <cell r="J390">
            <v>4399.323748562224</v>
          </cell>
          <cell r="K390">
            <v>1276.6670606263569</v>
          </cell>
        </row>
        <row r="391"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E392">
            <v>-24842.0968168</v>
          </cell>
          <cell r="F392">
            <v>9959.7517915499939</v>
          </cell>
          <cell r="G392">
            <v>59669.077805580004</v>
          </cell>
          <cell r="H392">
            <v>15000</v>
          </cell>
          <cell r="I392">
            <v>0</v>
          </cell>
          <cell r="J392">
            <v>0</v>
          </cell>
          <cell r="K392">
            <v>0</v>
          </cell>
        </row>
        <row r="393">
          <cell r="E393">
            <v>-240.6646528</v>
          </cell>
          <cell r="F393">
            <v>8.6941938200000095</v>
          </cell>
          <cell r="G393">
            <v>-2648.5919530200003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5"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7">
          <cell r="E397">
            <v>1321.1544066599986</v>
          </cell>
          <cell r="F397">
            <v>-37328.315066039999</v>
          </cell>
          <cell r="G397">
            <v>-4345.0449797600031</v>
          </cell>
          <cell r="H397">
            <v>-3036.1929889999992</v>
          </cell>
          <cell r="I397">
            <v>-21263.108001867764</v>
          </cell>
          <cell r="J397">
            <v>-23371.111055999998</v>
          </cell>
          <cell r="K397">
            <v>-23724.090505999997</v>
          </cell>
        </row>
        <row r="398">
          <cell r="E398">
            <v>3074.6431499999999</v>
          </cell>
          <cell r="F398">
            <v>3630.2099500000008</v>
          </cell>
          <cell r="G398">
            <v>1787.0697439199998</v>
          </cell>
          <cell r="H398">
            <v>20000</v>
          </cell>
          <cell r="I398">
            <v>0</v>
          </cell>
          <cell r="J398">
            <v>0</v>
          </cell>
          <cell r="K398">
            <v>0</v>
          </cell>
        </row>
        <row r="400">
          <cell r="E400">
            <v>-21600.577052205936</v>
          </cell>
          <cell r="F400">
            <v>-8550.2953168392796</v>
          </cell>
          <cell r="G400">
            <v>-18251.286618695416</v>
          </cell>
          <cell r="H400">
            <v>-30377.211934038252</v>
          </cell>
          <cell r="I400">
            <v>49659.664240337122</v>
          </cell>
          <cell r="J400">
            <v>57106.827974245578</v>
          </cell>
          <cell r="K400">
            <v>45963.896895452366</v>
          </cell>
        </row>
      </sheetData>
      <sheetData sheetId="2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MENU"/>
      <sheetName val="BALANCE"/>
      <sheetName val="VISOR RESULTADOS - P&amp;L"/>
      <sheetName val="INSTRUCTIONS"/>
      <sheetName val="IDIOMA"/>
      <sheetName val="ÁREAS"/>
      <sheetName val="IDIOMA MATRIZ"/>
      <sheetName val="DATOS"/>
      <sheetName val="BP"/>
      <sheetName val="AN01010201"/>
      <sheetName val="AN01010202"/>
      <sheetName val="AN01010300"/>
      <sheetName val="AN01010400"/>
      <sheetName val="BC1010"/>
      <sheetName val="AN01020200"/>
      <sheetName val="BC1015"/>
      <sheetName val="BC1020"/>
      <sheetName val="AN01040400"/>
      <sheetName val="FC"/>
      <sheetName val="AN02020100"/>
      <sheetName val="AN02020150"/>
      <sheetName val="GA"/>
      <sheetName val="AN03030000"/>
      <sheetName val="AC"/>
      <sheetName val="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6">
          <cell r="AV16">
            <v>0</v>
          </cell>
          <cell r="AW16">
            <v>0</v>
          </cell>
          <cell r="AX16">
            <v>0</v>
          </cell>
          <cell r="AY16">
            <v>0</v>
          </cell>
        </row>
        <row r="17">
          <cell r="AV17">
            <v>0</v>
          </cell>
          <cell r="AW17">
            <v>0</v>
          </cell>
          <cell r="AX17">
            <v>0</v>
          </cell>
          <cell r="AY17">
            <v>0</v>
          </cell>
        </row>
        <row r="18">
          <cell r="AV18">
            <v>0</v>
          </cell>
          <cell r="AW18">
            <v>0</v>
          </cell>
          <cell r="AX18">
            <v>0</v>
          </cell>
          <cell r="AY18">
            <v>0</v>
          </cell>
        </row>
        <row r="19">
          <cell r="AV19">
            <v>0</v>
          </cell>
          <cell r="AW19">
            <v>0</v>
          </cell>
          <cell r="AX19">
            <v>0</v>
          </cell>
          <cell r="AY19">
            <v>0</v>
          </cell>
        </row>
        <row r="20">
          <cell r="AV20">
            <v>0</v>
          </cell>
          <cell r="AW20">
            <v>0</v>
          </cell>
          <cell r="AX20">
            <v>0</v>
          </cell>
          <cell r="AY20">
            <v>0</v>
          </cell>
        </row>
        <row r="21">
          <cell r="AV21">
            <v>0</v>
          </cell>
          <cell r="AW21">
            <v>0</v>
          </cell>
          <cell r="AX21">
            <v>0</v>
          </cell>
          <cell r="AY21">
            <v>0</v>
          </cell>
        </row>
        <row r="22">
          <cell r="AV22">
            <v>0</v>
          </cell>
          <cell r="AW22">
            <v>0</v>
          </cell>
          <cell r="AX22">
            <v>0</v>
          </cell>
          <cell r="AY22">
            <v>0</v>
          </cell>
        </row>
        <row r="23">
          <cell r="AV23">
            <v>0</v>
          </cell>
          <cell r="AW23">
            <v>0</v>
          </cell>
          <cell r="AX23">
            <v>0</v>
          </cell>
          <cell r="AY23">
            <v>0</v>
          </cell>
        </row>
        <row r="24">
          <cell r="AV24">
            <v>0</v>
          </cell>
          <cell r="AW24">
            <v>0</v>
          </cell>
          <cell r="AX24">
            <v>0</v>
          </cell>
          <cell r="AY24">
            <v>0</v>
          </cell>
        </row>
        <row r="25">
          <cell r="AV25">
            <v>0</v>
          </cell>
          <cell r="AW25">
            <v>0</v>
          </cell>
          <cell r="AX25">
            <v>0</v>
          </cell>
          <cell r="AY25">
            <v>0</v>
          </cell>
        </row>
        <row r="26">
          <cell r="AV26">
            <v>0</v>
          </cell>
          <cell r="AW26">
            <v>0</v>
          </cell>
          <cell r="AX26">
            <v>0</v>
          </cell>
          <cell r="AY26">
            <v>0</v>
          </cell>
        </row>
        <row r="27">
          <cell r="AV27">
            <v>0</v>
          </cell>
          <cell r="AW27">
            <v>0</v>
          </cell>
          <cell r="AX27">
            <v>0</v>
          </cell>
          <cell r="AY27">
            <v>0</v>
          </cell>
        </row>
        <row r="28">
          <cell r="AV28">
            <v>0</v>
          </cell>
          <cell r="AW28">
            <v>0</v>
          </cell>
          <cell r="AX28">
            <v>0</v>
          </cell>
          <cell r="AY28">
            <v>0</v>
          </cell>
        </row>
        <row r="29">
          <cell r="AV29">
            <v>0</v>
          </cell>
          <cell r="AW29">
            <v>0</v>
          </cell>
          <cell r="AX29">
            <v>0</v>
          </cell>
          <cell r="AY29">
            <v>0</v>
          </cell>
        </row>
        <row r="30">
          <cell r="AV30">
            <v>0</v>
          </cell>
          <cell r="AW30">
            <v>0</v>
          </cell>
          <cell r="AX30">
            <v>0</v>
          </cell>
          <cell r="AY30">
            <v>0</v>
          </cell>
        </row>
        <row r="31">
          <cell r="AV31">
            <v>0</v>
          </cell>
          <cell r="AW31">
            <v>0</v>
          </cell>
          <cell r="AX31">
            <v>0</v>
          </cell>
          <cell r="AY31">
            <v>0</v>
          </cell>
        </row>
        <row r="32">
          <cell r="AV32">
            <v>0</v>
          </cell>
          <cell r="AW32">
            <v>0</v>
          </cell>
          <cell r="AX32">
            <v>0</v>
          </cell>
          <cell r="AY32">
            <v>0</v>
          </cell>
        </row>
        <row r="33">
          <cell r="AV33">
            <v>0</v>
          </cell>
          <cell r="AW33">
            <v>0</v>
          </cell>
          <cell r="AX33">
            <v>0</v>
          </cell>
          <cell r="AY33">
            <v>0</v>
          </cell>
        </row>
        <row r="34">
          <cell r="AV34">
            <v>0</v>
          </cell>
          <cell r="AW34">
            <v>0</v>
          </cell>
          <cell r="AX34">
            <v>0</v>
          </cell>
          <cell r="AY34">
            <v>0</v>
          </cell>
        </row>
        <row r="35">
          <cell r="AV35">
            <v>0</v>
          </cell>
          <cell r="AW35">
            <v>0</v>
          </cell>
          <cell r="AX35">
            <v>0</v>
          </cell>
          <cell r="AY35">
            <v>0</v>
          </cell>
        </row>
        <row r="36">
          <cell r="AV36">
            <v>0</v>
          </cell>
          <cell r="AW36">
            <v>0</v>
          </cell>
          <cell r="AX36">
            <v>0</v>
          </cell>
          <cell r="AY36">
            <v>0</v>
          </cell>
        </row>
        <row r="37">
          <cell r="AV37">
            <v>0</v>
          </cell>
          <cell r="AW37">
            <v>0</v>
          </cell>
          <cell r="AX37">
            <v>0</v>
          </cell>
          <cell r="AY37">
            <v>0</v>
          </cell>
        </row>
        <row r="38">
          <cell r="AV38">
            <v>0</v>
          </cell>
          <cell r="AW38">
            <v>0</v>
          </cell>
          <cell r="AX38">
            <v>0</v>
          </cell>
          <cell r="AY38">
            <v>0</v>
          </cell>
        </row>
        <row r="39">
          <cell r="AV39">
            <v>0</v>
          </cell>
          <cell r="AW39">
            <v>0</v>
          </cell>
          <cell r="AX39">
            <v>0</v>
          </cell>
          <cell r="AY39">
            <v>0</v>
          </cell>
        </row>
        <row r="40">
          <cell r="AV40">
            <v>0</v>
          </cell>
          <cell r="AW40">
            <v>0</v>
          </cell>
          <cell r="AX40">
            <v>0</v>
          </cell>
          <cell r="AY40">
            <v>0</v>
          </cell>
        </row>
        <row r="41">
          <cell r="AV41">
            <v>0</v>
          </cell>
          <cell r="AW41">
            <v>0</v>
          </cell>
          <cell r="AX41">
            <v>0</v>
          </cell>
          <cell r="AY41">
            <v>0</v>
          </cell>
        </row>
        <row r="42">
          <cell r="AV42">
            <v>0</v>
          </cell>
          <cell r="AW42">
            <v>0</v>
          </cell>
          <cell r="AX42">
            <v>0</v>
          </cell>
          <cell r="AY42">
            <v>0</v>
          </cell>
        </row>
        <row r="43">
          <cell r="AV43">
            <v>0</v>
          </cell>
          <cell r="AW43">
            <v>0</v>
          </cell>
          <cell r="AX43">
            <v>0</v>
          </cell>
          <cell r="AY43">
            <v>0</v>
          </cell>
        </row>
        <row r="44">
          <cell r="AV44">
            <v>0</v>
          </cell>
          <cell r="AW44">
            <v>0</v>
          </cell>
          <cell r="AX44">
            <v>0</v>
          </cell>
          <cell r="AY44">
            <v>0</v>
          </cell>
        </row>
        <row r="45">
          <cell r="AV45">
            <v>0</v>
          </cell>
          <cell r="AW45">
            <v>0</v>
          </cell>
          <cell r="AX45">
            <v>0</v>
          </cell>
          <cell r="AY45">
            <v>0</v>
          </cell>
        </row>
        <row r="46">
          <cell r="AV46">
            <v>-1.2853871221127717E-9</v>
          </cell>
          <cell r="AW46">
            <v>0</v>
          </cell>
          <cell r="AX46">
            <v>0</v>
          </cell>
          <cell r="AY46">
            <v>0</v>
          </cell>
        </row>
        <row r="47">
          <cell r="AV47">
            <v>0</v>
          </cell>
          <cell r="AW47">
            <v>0</v>
          </cell>
          <cell r="AX47">
            <v>0</v>
          </cell>
          <cell r="AY47">
            <v>0</v>
          </cell>
        </row>
        <row r="48">
          <cell r="AV48">
            <v>0</v>
          </cell>
          <cell r="AW48">
            <v>0</v>
          </cell>
          <cell r="AX48">
            <v>0</v>
          </cell>
          <cell r="AY48">
            <v>0</v>
          </cell>
        </row>
        <row r="49">
          <cell r="AV49">
            <v>0</v>
          </cell>
          <cell r="AW49">
            <v>0</v>
          </cell>
          <cell r="AX49">
            <v>0</v>
          </cell>
          <cell r="AY49">
            <v>0</v>
          </cell>
        </row>
        <row r="50">
          <cell r="AV50">
            <v>0</v>
          </cell>
          <cell r="AW50">
            <v>0</v>
          </cell>
          <cell r="AX50">
            <v>0</v>
          </cell>
          <cell r="AY50">
            <v>0</v>
          </cell>
        </row>
        <row r="51">
          <cell r="AV51">
            <v>0</v>
          </cell>
          <cell r="AW51">
            <v>0</v>
          </cell>
          <cell r="AX51">
            <v>0</v>
          </cell>
          <cell r="AY51">
            <v>0</v>
          </cell>
        </row>
        <row r="52">
          <cell r="AV52">
            <v>0</v>
          </cell>
          <cell r="AW52">
            <v>0</v>
          </cell>
          <cell r="AX52">
            <v>0</v>
          </cell>
          <cell r="AY52">
            <v>0</v>
          </cell>
        </row>
        <row r="53">
          <cell r="AV53">
            <v>0</v>
          </cell>
          <cell r="AW53">
            <v>0</v>
          </cell>
          <cell r="AX53">
            <v>0</v>
          </cell>
          <cell r="AY53">
            <v>0</v>
          </cell>
        </row>
        <row r="54">
          <cell r="AV54">
            <v>0</v>
          </cell>
          <cell r="AW54">
            <v>0</v>
          </cell>
          <cell r="AX54">
            <v>0</v>
          </cell>
          <cell r="AY54">
            <v>0</v>
          </cell>
        </row>
        <row r="55">
          <cell r="AV55">
            <v>0</v>
          </cell>
          <cell r="AW55">
            <v>0</v>
          </cell>
          <cell r="AX55">
            <v>0</v>
          </cell>
          <cell r="AY55">
            <v>0</v>
          </cell>
        </row>
        <row r="56">
          <cell r="AV56">
            <v>0</v>
          </cell>
          <cell r="AW56">
            <v>0</v>
          </cell>
          <cell r="AX56">
            <v>0</v>
          </cell>
          <cell r="AY56">
            <v>0</v>
          </cell>
        </row>
        <row r="57">
          <cell r="AV57">
            <v>0</v>
          </cell>
          <cell r="AW57">
            <v>0</v>
          </cell>
          <cell r="AX57">
            <v>0</v>
          </cell>
          <cell r="AY57">
            <v>0</v>
          </cell>
        </row>
        <row r="58">
          <cell r="AV58">
            <v>0</v>
          </cell>
          <cell r="AW58">
            <v>0</v>
          </cell>
          <cell r="AX58">
            <v>0</v>
          </cell>
          <cell r="AY58">
            <v>0</v>
          </cell>
        </row>
        <row r="272">
          <cell r="E272">
            <v>13496.641470000053</v>
          </cell>
          <cell r="F272">
            <v>-20691.051479999973</v>
          </cell>
          <cell r="G272">
            <v>-35221.597520000061</v>
          </cell>
          <cell r="H272">
            <v>14266.183966584209</v>
          </cell>
          <cell r="I272">
            <v>-211069.75146134218</v>
          </cell>
          <cell r="J272">
            <v>-314932.69727635919</v>
          </cell>
          <cell r="K272">
            <v>-349016.66058001475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7"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83"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</row>
        <row r="293"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25"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  <row r="327"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E330">
            <v>0</v>
          </cell>
          <cell r="F330">
            <v>2.7549299999999732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</row>
        <row r="338"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</row>
        <row r="347"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</row>
        <row r="349"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E350">
            <v>-818.07271000000003</v>
          </cell>
          <cell r="F350">
            <v>-782.61132999999995</v>
          </cell>
          <cell r="G350">
            <v>-878.51431000000002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</row>
        <row r="353"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</row>
        <row r="355"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59"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</row>
        <row r="363"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</row>
        <row r="365"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E367">
            <v>9995.6185299999997</v>
          </cell>
          <cell r="F367">
            <v>10003.509009999998</v>
          </cell>
          <cell r="G367">
            <v>11809.518650000002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</row>
        <row r="372"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</row>
        <row r="373"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</row>
        <row r="374"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</row>
        <row r="380"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-865.56163652249313</v>
          </cell>
          <cell r="I382">
            <v>-6814.7108292697339</v>
          </cell>
          <cell r="J382">
            <v>-5998.7037672541474</v>
          </cell>
          <cell r="K382">
            <v>-5923.3701074009778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</row>
        <row r="384">
          <cell r="E384">
            <v>-608.54408000000001</v>
          </cell>
          <cell r="F384">
            <v>-590.02188000000069</v>
          </cell>
          <cell r="G384">
            <v>-778.28701000000001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6">
          <cell r="E386">
            <v>-12145.911830000001</v>
          </cell>
          <cell r="F386">
            <v>-14456.236939999999</v>
          </cell>
          <cell r="G386">
            <v>-17090.348559999999</v>
          </cell>
          <cell r="H386">
            <v>-13903.747319357402</v>
          </cell>
          <cell r="I386">
            <v>-34465.428362899584</v>
          </cell>
          <cell r="J386">
            <v>-32931.144034059958</v>
          </cell>
          <cell r="K386">
            <v>-30886.484927864345</v>
          </cell>
        </row>
        <row r="387">
          <cell r="E387">
            <v>-5135.7156499999992</v>
          </cell>
          <cell r="F387">
            <v>-13006.535529999999</v>
          </cell>
          <cell r="G387">
            <v>-11342.759269999999</v>
          </cell>
          <cell r="H387">
            <v>-6526.7801748087659</v>
          </cell>
          <cell r="I387">
            <v>-39055.418341599499</v>
          </cell>
          <cell r="J387">
            <v>-33420.062905837294</v>
          </cell>
          <cell r="K387">
            <v>-29558.152796914335</v>
          </cell>
        </row>
        <row r="388">
          <cell r="E388">
            <v>-520.01044000000002</v>
          </cell>
          <cell r="F388">
            <v>-569.49993999999992</v>
          </cell>
          <cell r="G388">
            <v>-606.68072000000006</v>
          </cell>
          <cell r="H388">
            <v>-4857.6884116386718</v>
          </cell>
          <cell r="I388">
            <v>-6224.0993765818739</v>
          </cell>
          <cell r="J388">
            <v>-4674.2507795999854</v>
          </cell>
          <cell r="K388">
            <v>-4330.695448377598</v>
          </cell>
        </row>
        <row r="390"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2"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400">
          <cell r="E400">
            <v>-1622.2244699999999</v>
          </cell>
          <cell r="F400">
            <v>13884.742999999999</v>
          </cell>
          <cell r="G400">
            <v>18772.914519999998</v>
          </cell>
          <cell r="H400">
            <v>4160.6577515100953</v>
          </cell>
          <cell r="I400">
            <v>104170.29293009252</v>
          </cell>
          <cell r="J400">
            <v>137184.90056708877</v>
          </cell>
          <cell r="K400">
            <v>146900.3773512003</v>
          </cell>
        </row>
      </sheetData>
      <sheetData sheetId="2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. ALCOPool"/>
      <sheetName val="30. Specialized"/>
      <sheetName val="29.Corporate Center"/>
      <sheetName val="28. ALM"/>
      <sheetName val="27.Wealth Management"/>
      <sheetName val="26.Unsecured lending"/>
      <sheetName val="25.Vehicle Fina Prd&amp;Srv"/>
      <sheetName val="24. Auto_Fin&amp;Allian_Adm"/>
      <sheetName val="23. Auto_Finance_Admin"/>
      <sheetName val="22.Santander Money"/>
      <sheetName val="21.Strategy"/>
      <sheetName val="20.Infoot print Floor P"/>
      <sheetName val="19.Chrysler Floor Plan"/>
      <sheetName val="18.Leasing"/>
      <sheetName val="17.CEVF"/>
      <sheetName val="16.Large Corporate"/>
      <sheetName val="15.MRG"/>
      <sheetName val="14a.RE Admin"/>
      <sheetName val="14.Spec And Gov Fin Ad"/>
      <sheetName val="13.Commercial Banking A"/>
      <sheetName val="12.Mortgage Warehouse"/>
      <sheetName val="11.Government Banking"/>
      <sheetName val="10.Oil &amp; Gas"/>
      <sheetName val="9.Asset Based Lending"/>
      <sheetName val="8a.Equip Fin Leasing"/>
      <sheetName val="8.Intl Desk-Trade Fin"/>
      <sheetName val="7.Multifamily"/>
      <sheetName val="6.CRE"/>
      <sheetName val="5. Middle Market"/>
      <sheetName val="4.Business Banking"/>
      <sheetName val="3.RV &amp; Marine Initiat"/>
      <sheetName val="2.SBB"/>
      <sheetName val="1.Individuals"/>
      <sheetName val="1.1.Individuals_Others"/>
      <sheetName val="1.2.Mortgages"/>
      <sheetName val="1.3.Credit Cards"/>
      <sheetName val="1.4.Investment Services"/>
      <sheetName val="J_ALCOPOOL"/>
      <sheetName val="I_SPECIALIZED"/>
      <sheetName val="H_CORP CTR"/>
      <sheetName val="G_FINANCIAL MGMNT"/>
      <sheetName val="F_WEALTH MGMNT"/>
      <sheetName val="E_SCUSA"/>
      <sheetName val="D_AUTOFINANCE"/>
      <sheetName val="C_GBM"/>
      <sheetName val="B_CREB"/>
      <sheetName val="B_COMMERCIAL"/>
      <sheetName val="A_RETAIL"/>
      <sheetName val="TOTAL COUNT"/>
      <sheetName val="Effective RW's Spain"/>
    </sheetNames>
    <sheetDataSet>
      <sheetData sheetId="0">
        <row r="824">
          <cell r="AA824">
            <v>-759963323.97457182</v>
          </cell>
          <cell r="AM824">
            <v>-765173208.42296767</v>
          </cell>
          <cell r="AY824">
            <v>-795956257.57036579</v>
          </cell>
          <cell r="BK824">
            <v>-796709811.20262074</v>
          </cell>
        </row>
      </sheetData>
      <sheetData sheetId="1" refreshError="1"/>
      <sheetData sheetId="2">
        <row r="824">
          <cell r="AA824">
            <v>1322563943.4360433</v>
          </cell>
          <cell r="AM824">
            <v>1335871153.657084</v>
          </cell>
          <cell r="AY824">
            <v>1364342385.5283561</v>
          </cell>
          <cell r="BK824">
            <v>1375716438.8314342</v>
          </cell>
        </row>
      </sheetData>
      <sheetData sheetId="3">
        <row r="824">
          <cell r="AA824">
            <v>4203695955.7537589</v>
          </cell>
          <cell r="AM824">
            <v>4090784275.6480961</v>
          </cell>
          <cell r="AY824">
            <v>3855942238.6620064</v>
          </cell>
          <cell r="BK824">
            <v>3651438806.2169662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824">
          <cell r="AA824">
            <v>2039636761.8805661</v>
          </cell>
          <cell r="AM824">
            <v>1470133952.936578</v>
          </cell>
          <cell r="AY824">
            <v>698403552.16062689</v>
          </cell>
          <cell r="BK824">
            <v>316692757.49173015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824">
          <cell r="AA824">
            <v>34044259.808368027</v>
          </cell>
          <cell r="AM824">
            <v>34277637.461107075</v>
          </cell>
          <cell r="AY824">
            <v>35656569.340562135</v>
          </cell>
          <cell r="BK824">
            <v>35690324.902638525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824">
          <cell r="AA824">
            <v>574360651.79250634</v>
          </cell>
          <cell r="AM824">
            <v>447174769.11270672</v>
          </cell>
          <cell r="AY824">
            <v>348186356.85392207</v>
          </cell>
          <cell r="BK824">
            <v>270812850.90544212</v>
          </cell>
        </row>
      </sheetData>
      <sheetData sheetId="31">
        <row r="824">
          <cell r="AA824">
            <v>1174317297.0622232</v>
          </cell>
          <cell r="AM824">
            <v>1212683025.1499445</v>
          </cell>
          <cell r="AY824">
            <v>1342199737.3704274</v>
          </cell>
          <cell r="BK824">
            <v>1582193963.6807561</v>
          </cell>
        </row>
      </sheetData>
      <sheetData sheetId="32">
        <row r="824">
          <cell r="AA824">
            <v>7831999155.273634</v>
          </cell>
          <cell r="AM824">
            <v>8052644010.8797798</v>
          </cell>
          <cell r="AY824">
            <v>8591439479.6791706</v>
          </cell>
          <cell r="BK824">
            <v>9180567099.5504971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824">
          <cell r="AA824">
            <v>378675023.51364172</v>
          </cell>
          <cell r="AM824">
            <v>312037903.22709668</v>
          </cell>
          <cell r="AY824">
            <v>260099402.95079184</v>
          </cell>
          <cell r="BK824">
            <v>217307507.7514357</v>
          </cell>
        </row>
      </sheetData>
      <sheetData sheetId="39" refreshError="1"/>
      <sheetData sheetId="40" refreshError="1"/>
      <sheetData sheetId="41" refreshError="1"/>
      <sheetData sheetId="42" refreshError="1"/>
      <sheetData sheetId="43">
        <row r="824">
          <cell r="AA824">
            <v>6022838724.1381216</v>
          </cell>
          <cell r="AM824">
            <v>6104273390.6249018</v>
          </cell>
          <cell r="AY824">
            <v>6165338366.4217386</v>
          </cell>
          <cell r="BK824">
            <v>6625285277.9804287</v>
          </cell>
        </row>
      </sheetData>
      <sheetData sheetId="44">
        <row r="824">
          <cell r="AA824">
            <v>13470253989.984978</v>
          </cell>
          <cell r="AM824">
            <v>15384678484.96653</v>
          </cell>
          <cell r="AY824">
            <v>15929395380.802849</v>
          </cell>
          <cell r="BK824">
            <v>17368943407.723713</v>
          </cell>
        </row>
      </sheetData>
      <sheetData sheetId="45">
        <row r="824">
          <cell r="AA824">
            <v>9641566986.2753143</v>
          </cell>
          <cell r="AM824">
            <v>9724735507.7268677</v>
          </cell>
          <cell r="AY824">
            <v>9749138679.3187962</v>
          </cell>
          <cell r="BK824">
            <v>9732599424.5684681</v>
          </cell>
        </row>
      </sheetData>
      <sheetData sheetId="46">
        <row r="824">
          <cell r="AA824">
            <v>12094069404.29891</v>
          </cell>
          <cell r="AM824">
            <v>13365600014.531412</v>
          </cell>
          <cell r="AY824">
            <v>15864471624.846212</v>
          </cell>
          <cell r="BK824">
            <v>18221338039.028896</v>
          </cell>
        </row>
      </sheetData>
      <sheetData sheetId="47" refreshError="1"/>
      <sheetData sheetId="48">
        <row r="817">
          <cell r="AA817">
            <v>50914921693.040833</v>
          </cell>
          <cell r="AM817">
            <v>54369603757.561836</v>
          </cell>
          <cell r="AY817">
            <v>57651963213.59359</v>
          </cell>
          <cell r="BK817">
            <v>62400447687.727295</v>
          </cell>
        </row>
        <row r="818">
          <cell r="AM818">
            <v>207668789.25878856</v>
          </cell>
          <cell r="AY818">
            <v>213673402.31758255</v>
          </cell>
          <cell r="BK818">
            <v>220977624.68780887</v>
          </cell>
        </row>
        <row r="819">
          <cell r="AM819">
            <v>4688036780.2808228</v>
          </cell>
          <cell r="AY819">
            <v>4808960778.9527254</v>
          </cell>
          <cell r="BK819">
            <v>4808067692.6203079</v>
          </cell>
        </row>
        <row r="821">
          <cell r="AA821">
            <v>55954377807.554565</v>
          </cell>
          <cell r="AM821">
            <v>59265309327.101448</v>
          </cell>
          <cell r="AY821">
            <v>62674597394.863907</v>
          </cell>
          <cell r="BK821">
            <v>67429493005.035408</v>
          </cell>
        </row>
      </sheetData>
      <sheetData sheetId="4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.S. Market Share"/>
      <sheetName val="US Macro"/>
      <sheetName val="US Loans"/>
      <sheetName val="Santander Loans"/>
      <sheetName val="Summary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7">
          <cell r="L17">
            <v>2.3720694280559979E-2</v>
          </cell>
          <cell r="P17">
            <v>2.3558008175345549E-2</v>
          </cell>
          <cell r="T17">
            <v>2.3954858076292624E-2</v>
          </cell>
          <cell r="X17">
            <v>2.4568528484693829E-2</v>
          </cell>
        </row>
        <row r="39">
          <cell r="L39">
            <v>2.9952126337537778E-2</v>
          </cell>
          <cell r="P39">
            <v>2.966965354941203E-2</v>
          </cell>
          <cell r="T39">
            <v>3.0240340438140462E-2</v>
          </cell>
          <cell r="X39">
            <v>3.1234697214562786E-2</v>
          </cell>
        </row>
      </sheetData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CAAP"/>
      <sheetName val="USA_ML_Madrid"/>
      <sheetName val="SHUSA Madrid"/>
      <sheetName val="Charts PPT Balances"/>
      <sheetName val="Charts PPT"/>
      <sheetName val="SUMMARY vs ICAAP July 17th"/>
      <sheetName val="SUMMARY vs ICAAP 60% Minority"/>
      <sheetName val="SUMMARY Adjusted July 13th"/>
      <sheetName val="July 17th vs July 13th"/>
      <sheetName val="SUMMARY Adjusted vs ICAAP"/>
      <sheetName val="SCUSA Madrid"/>
      <sheetName val="PR_ML_Madrid"/>
      <sheetName val="US GAAP impacts vs ICAAP"/>
      <sheetName val="SUMMARY Adjusted and Half Holdc"/>
      <sheetName val="Additional Jul 17"/>
      <sheetName val="SUMMARY Original"/>
      <sheetName val="P17 v P 18"/>
      <sheetName val="Spanish View Format"/>
      <sheetName val="Reserves"/>
      <sheetName val="2013 Guillermo View"/>
      <sheetName val="Local to Spanish View Summary"/>
      <sheetName val="2013 Detail"/>
      <sheetName val="Guillermo View SHUSA"/>
      <sheetName val="SHUSA Spanish Adjustments"/>
      <sheetName val="SHUSA (strat plan)"/>
      <sheetName val="SHUSA (strat plan) AVG"/>
      <sheetName val="SBNA local.carg.libros.consol"/>
      <sheetName val="2015 Xavi forecast"/>
      <sheetName val="Guillermo View SBNA Xavi Foreca"/>
      <sheetName val="Guillermo View SBNA"/>
      <sheetName val="SBNA Spanish View Format"/>
      <sheetName val="SBNA Spanish Adjustments"/>
      <sheetName val="Gastos Imputados"/>
      <sheetName val="SBNA (strat plan)"/>
      <sheetName val="SHUSA Olivia"/>
      <sheetName val="SBNA Olivia"/>
      <sheetName val="Olivia LDN"/>
      <sheetName val="SBNA Olivia by month"/>
      <sheetName val="2015 Actual Balances"/>
      <sheetName val="Olivia AVG Bals"/>
      <sheetName val="Olivia AVG Bals by month"/>
      <sheetName val="Guillermo View Holdco"/>
      <sheetName val="Holdco Spanish View Format"/>
      <sheetName val="Holdco Spanish Adjustments"/>
      <sheetName val="Holdco Olivia"/>
      <sheetName val="Holdco (strat plan)"/>
      <sheetName val="Holdco 2015 Actual Balances"/>
      <sheetName val="Holdco 2014 Actual Balances"/>
      <sheetName val="PPA"/>
      <sheetName val="CDI"/>
      <sheetName val="2014 Actual Balances"/>
      <sheetName val="Drive and RV Svcing"/>
      <sheetName val="NPL"/>
      <sheetName val="SHILOH"/>
      <sheetName val="Punta Lima workbook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>
        <row r="134">
          <cell r="G134">
            <v>1376.0465176791995</v>
          </cell>
          <cell r="H134">
            <v>5056.7345339879021</v>
          </cell>
          <cell r="I134">
            <v>7899.657989690957</v>
          </cell>
          <cell r="J134">
            <v>8209.9546155667995</v>
          </cell>
        </row>
        <row r="158">
          <cell r="F158">
            <v>4302.6019999999999</v>
          </cell>
          <cell r="H158">
            <v>6742.6019999999999</v>
          </cell>
          <cell r="I158">
            <v>9742.6020000000008</v>
          </cell>
          <cell r="J158">
            <v>10242.602000000001</v>
          </cell>
        </row>
      </sheetData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T72"/>
  <sheetViews>
    <sheetView topLeftCell="A13" workbookViewId="0">
      <selection activeCell="C24" sqref="C24"/>
    </sheetView>
  </sheetViews>
  <sheetFormatPr defaultRowHeight="14.4" x14ac:dyDescent="0.3"/>
  <cols>
    <col min="2" max="2" width="17.6640625" bestFit="1" customWidth="1"/>
    <col min="3" max="3" width="9.5546875" bestFit="1" customWidth="1"/>
    <col min="5" max="5" width="2.109375" customWidth="1"/>
    <col min="7" max="7" width="2.109375" customWidth="1"/>
    <col min="10" max="10" width="2.109375" customWidth="1"/>
    <col min="13" max="13" width="17.6640625" bestFit="1" customWidth="1"/>
    <col min="14" max="14" width="9.5546875" bestFit="1" customWidth="1"/>
    <col min="16" max="16" width="2.109375" customWidth="1"/>
    <col min="18" max="18" width="2.109375" customWidth="1"/>
    <col min="21" max="21" width="2.109375" customWidth="1"/>
    <col min="24" max="24" width="17.6640625" bestFit="1" customWidth="1"/>
    <col min="27" max="27" width="2.109375" customWidth="1"/>
    <col min="29" max="29" width="2.109375" customWidth="1"/>
    <col min="32" max="32" width="2.109375" customWidth="1"/>
    <col min="35" max="35" width="17.6640625" bestFit="1" customWidth="1"/>
    <col min="36" max="37" width="13.44140625" bestFit="1" customWidth="1"/>
    <col min="38" max="38" width="2.109375" customWidth="1"/>
    <col min="40" max="40" width="2.109375" customWidth="1"/>
    <col min="41" max="42" width="13.44140625" bestFit="1" customWidth="1"/>
    <col min="43" max="43" width="2.109375" customWidth="1"/>
    <col min="45" max="45" width="9.109375" style="93"/>
    <col min="46" max="46" width="17.6640625" bestFit="1" customWidth="1"/>
    <col min="49" max="49" width="2.109375" customWidth="1"/>
    <col min="51" max="51" width="2.109375" customWidth="1"/>
    <col min="54" max="54" width="2.109375" customWidth="1"/>
    <col min="56" max="56" width="9.109375" style="93"/>
    <col min="57" max="57" width="17.6640625" bestFit="1" customWidth="1"/>
    <col min="60" max="60" width="2.109375" customWidth="1"/>
    <col min="62" max="62" width="2.109375" customWidth="1"/>
    <col min="65" max="65" width="2.109375" customWidth="1"/>
    <col min="68" max="68" width="17.6640625" customWidth="1"/>
    <col min="69" max="70" width="9.109375" customWidth="1"/>
    <col min="71" max="71" width="2.109375" customWidth="1"/>
    <col min="72" max="72" width="9.109375" customWidth="1"/>
    <col min="73" max="73" width="2.109375" customWidth="1"/>
    <col min="74" max="75" width="9.109375" customWidth="1"/>
    <col min="76" max="76" width="2.109375" customWidth="1"/>
    <col min="77" max="78" width="9.109375" customWidth="1"/>
    <col min="79" max="79" width="17.6640625" customWidth="1"/>
    <col min="80" max="81" width="9.109375" customWidth="1"/>
    <col min="82" max="82" width="2.109375" customWidth="1"/>
    <col min="83" max="83" width="9.109375" customWidth="1"/>
    <col min="84" max="84" width="2.109375" customWidth="1"/>
    <col min="85" max="86" width="9.109375" customWidth="1"/>
    <col min="87" max="87" width="2.109375" customWidth="1"/>
    <col min="88" max="89" width="9.109375" customWidth="1"/>
    <col min="90" max="90" width="17.6640625" bestFit="1" customWidth="1"/>
    <col min="91" max="91" width="10.5546875" bestFit="1" customWidth="1"/>
    <col min="93" max="93" width="2.109375" customWidth="1"/>
    <col min="95" max="95" width="2.109375" customWidth="1"/>
    <col min="97" max="97" width="9.5546875" bestFit="1" customWidth="1"/>
    <col min="98" max="98" width="2.109375" customWidth="1"/>
    <col min="101" max="101" width="17.6640625" bestFit="1" customWidth="1"/>
    <col min="104" max="104" width="2.109375" customWidth="1"/>
    <col min="106" max="106" width="2.109375" customWidth="1"/>
    <col min="108" max="108" width="9.5546875" bestFit="1" customWidth="1"/>
    <col min="109" max="109" width="2.109375" customWidth="1"/>
    <col min="112" max="112" width="17.6640625" bestFit="1" customWidth="1"/>
    <col min="115" max="115" width="2.109375" customWidth="1"/>
    <col min="117" max="117" width="2.109375" customWidth="1"/>
    <col min="120" max="120" width="2.109375" customWidth="1"/>
    <col min="123" max="123" width="17.6640625" bestFit="1" customWidth="1"/>
    <col min="126" max="126" width="2.109375" customWidth="1"/>
    <col min="128" max="128" width="2.109375" customWidth="1"/>
    <col min="131" max="131" width="2.109375" customWidth="1"/>
    <col min="134" max="134" width="17.6640625" bestFit="1" customWidth="1"/>
    <col min="137" max="137" width="2.109375" customWidth="1"/>
    <col min="139" max="139" width="2.109375" customWidth="1"/>
    <col min="142" max="142" width="2.109375" customWidth="1"/>
    <col min="145" max="145" width="17.6640625" bestFit="1" customWidth="1"/>
    <col min="148" max="148" width="2.109375" customWidth="1"/>
    <col min="150" max="150" width="2.109375" customWidth="1"/>
    <col min="153" max="153" width="2.109375" customWidth="1"/>
    <col min="156" max="156" width="17.6640625" bestFit="1" customWidth="1"/>
    <col min="159" max="159" width="2.109375" customWidth="1"/>
    <col min="161" max="161" width="2.109375" customWidth="1"/>
    <col min="164" max="164" width="2.109375" customWidth="1"/>
    <col min="167" max="167" width="17.6640625" bestFit="1" customWidth="1"/>
    <col min="170" max="170" width="2.109375" customWidth="1"/>
    <col min="172" max="172" width="2.109375" customWidth="1"/>
    <col min="175" max="175" width="2.109375" customWidth="1"/>
  </cols>
  <sheetData>
    <row r="2" spans="2:176" ht="15" x14ac:dyDescent="0.25">
      <c r="B2" s="5" t="s">
        <v>31</v>
      </c>
    </row>
    <row r="3" spans="2:176" ht="15" x14ac:dyDescent="0.25">
      <c r="B3" s="5" t="s">
        <v>32</v>
      </c>
    </row>
    <row r="5" spans="2:176" ht="18.75" x14ac:dyDescent="0.3">
      <c r="B5" s="216" t="s">
        <v>0</v>
      </c>
      <c r="C5" s="216"/>
      <c r="D5" s="216"/>
      <c r="E5" s="216"/>
      <c r="F5" s="216"/>
      <c r="G5" s="216"/>
      <c r="H5" s="216"/>
      <c r="I5" s="216"/>
      <c r="J5" s="216"/>
      <c r="K5" s="216"/>
      <c r="M5" s="217" t="s">
        <v>1</v>
      </c>
      <c r="N5" s="217"/>
      <c r="O5" s="217"/>
      <c r="P5" s="217"/>
      <c r="Q5" s="217"/>
      <c r="R5" s="217"/>
      <c r="S5" s="217"/>
      <c r="T5" s="217"/>
      <c r="U5" s="217"/>
      <c r="V5" s="217"/>
      <c r="X5" s="217" t="s">
        <v>33</v>
      </c>
      <c r="Y5" s="217"/>
      <c r="Z5" s="217"/>
      <c r="AA5" s="217"/>
      <c r="AB5" s="217"/>
      <c r="AC5" s="217"/>
      <c r="AD5" s="217"/>
      <c r="AE5" s="217"/>
      <c r="AF5" s="217"/>
      <c r="AG5" s="217"/>
      <c r="AI5" s="217" t="s">
        <v>34</v>
      </c>
      <c r="AJ5" s="217"/>
      <c r="AK5" s="217"/>
      <c r="AL5" s="217"/>
      <c r="AM5" s="217"/>
      <c r="AN5" s="217"/>
      <c r="AO5" s="217"/>
      <c r="AP5" s="217"/>
      <c r="AQ5" s="217"/>
      <c r="AR5" s="217"/>
      <c r="AS5" s="102"/>
      <c r="AT5" s="218" t="s">
        <v>98</v>
      </c>
      <c r="AU5" s="218"/>
      <c r="AV5" s="218"/>
      <c r="AW5" s="218"/>
      <c r="AX5" s="218"/>
      <c r="AY5" s="218"/>
      <c r="AZ5" s="218"/>
      <c r="BA5" s="218"/>
      <c r="BB5" s="218"/>
      <c r="BC5" s="218"/>
      <c r="BE5" s="218" t="s">
        <v>99</v>
      </c>
      <c r="BF5" s="218"/>
      <c r="BG5" s="218"/>
      <c r="BH5" s="218"/>
      <c r="BI5" s="218"/>
      <c r="BJ5" s="218"/>
      <c r="BK5" s="218"/>
      <c r="BL5" s="218"/>
      <c r="BM5" s="218"/>
      <c r="BN5" s="218"/>
      <c r="BP5" s="217" t="s">
        <v>35</v>
      </c>
      <c r="BQ5" s="217"/>
      <c r="BR5" s="217"/>
      <c r="BS5" s="217"/>
      <c r="BT5" s="217"/>
      <c r="BU5" s="217"/>
      <c r="BV5" s="217"/>
      <c r="BW5" s="217"/>
      <c r="BX5" s="217"/>
      <c r="BY5" s="217"/>
      <c r="CA5" s="219" t="s">
        <v>36</v>
      </c>
      <c r="CB5" s="219"/>
      <c r="CC5" s="219"/>
      <c r="CD5" s="219"/>
      <c r="CE5" s="219"/>
      <c r="CF5" s="219"/>
      <c r="CG5" s="219"/>
      <c r="CH5" s="219"/>
      <c r="CI5" s="219"/>
      <c r="CJ5" s="219"/>
      <c r="CL5" s="218" t="s">
        <v>37</v>
      </c>
      <c r="CM5" s="218"/>
      <c r="CN5" s="218"/>
      <c r="CO5" s="218"/>
      <c r="CP5" s="218"/>
      <c r="CQ5" s="218"/>
      <c r="CR5" s="218"/>
      <c r="CS5" s="218"/>
      <c r="CT5" s="218"/>
      <c r="CU5" s="218"/>
      <c r="CW5" s="218" t="s">
        <v>38</v>
      </c>
      <c r="CX5" s="218"/>
      <c r="CY5" s="218"/>
      <c r="CZ5" s="218"/>
      <c r="DA5" s="218"/>
      <c r="DB5" s="218"/>
      <c r="DC5" s="218"/>
      <c r="DD5" s="218"/>
      <c r="DE5" s="218"/>
      <c r="DF5" s="218"/>
      <c r="DH5" s="219" t="s">
        <v>74</v>
      </c>
      <c r="DI5" s="219"/>
      <c r="DJ5" s="219"/>
      <c r="DK5" s="219"/>
      <c r="DL5" s="219"/>
      <c r="DM5" s="219"/>
      <c r="DN5" s="219"/>
      <c r="DO5" s="219"/>
      <c r="DP5" s="219"/>
      <c r="DQ5" s="219"/>
      <c r="DS5" s="219" t="s">
        <v>39</v>
      </c>
      <c r="DT5" s="219"/>
      <c r="DU5" s="219"/>
      <c r="DV5" s="219"/>
      <c r="DW5" s="219"/>
      <c r="DX5" s="219"/>
      <c r="DY5" s="219"/>
      <c r="DZ5" s="219"/>
      <c r="EA5" s="219"/>
      <c r="EB5" s="219"/>
      <c r="ED5" s="219" t="s">
        <v>40</v>
      </c>
      <c r="EE5" s="219"/>
      <c r="EF5" s="219"/>
      <c r="EG5" s="219"/>
      <c r="EH5" s="219"/>
      <c r="EI5" s="219"/>
      <c r="EJ5" s="219"/>
      <c r="EK5" s="219"/>
      <c r="EL5" s="219"/>
      <c r="EM5" s="219"/>
      <c r="EO5" s="219" t="s">
        <v>95</v>
      </c>
      <c r="EP5" s="219"/>
      <c r="EQ5" s="219"/>
      <c r="ER5" s="219"/>
      <c r="ES5" s="219"/>
      <c r="ET5" s="219"/>
      <c r="EU5" s="219"/>
      <c r="EV5" s="219"/>
      <c r="EW5" s="219"/>
      <c r="EX5" s="219"/>
      <c r="EZ5" s="218" t="s">
        <v>96</v>
      </c>
      <c r="FA5" s="218"/>
      <c r="FB5" s="218"/>
      <c r="FC5" s="218"/>
      <c r="FD5" s="218"/>
      <c r="FE5" s="218"/>
      <c r="FF5" s="218"/>
      <c r="FG5" s="218"/>
      <c r="FH5" s="218"/>
      <c r="FI5" s="218"/>
      <c r="FK5" s="218" t="s">
        <v>97</v>
      </c>
      <c r="FL5" s="218"/>
      <c r="FM5" s="218"/>
      <c r="FN5" s="218"/>
      <c r="FO5" s="218"/>
      <c r="FP5" s="218"/>
      <c r="FQ5" s="218"/>
      <c r="FR5" s="218"/>
      <c r="FS5" s="218"/>
      <c r="FT5" s="218"/>
    </row>
    <row r="7" spans="2:176" ht="15.75" thickBot="1" x14ac:dyDescent="0.3"/>
    <row r="8" spans="2:176" ht="28.8" thickTop="1" thickBot="1" x14ac:dyDescent="0.35">
      <c r="C8" s="1" t="s">
        <v>2</v>
      </c>
      <c r="D8" s="1" t="s">
        <v>3</v>
      </c>
      <c r="E8" s="2"/>
      <c r="F8" s="3" t="s">
        <v>4</v>
      </c>
      <c r="G8" s="4"/>
      <c r="H8" s="1" t="s">
        <v>5</v>
      </c>
      <c r="I8" s="1" t="s">
        <v>6</v>
      </c>
      <c r="J8" s="2"/>
      <c r="K8" s="3" t="s">
        <v>7</v>
      </c>
      <c r="N8" s="1" t="s">
        <v>2</v>
      </c>
      <c r="O8" s="1" t="s">
        <v>3</v>
      </c>
      <c r="P8" s="2"/>
      <c r="Q8" s="3" t="s">
        <v>4</v>
      </c>
      <c r="R8" s="4"/>
      <c r="S8" s="1" t="s">
        <v>5</v>
      </c>
      <c r="T8" s="1" t="s">
        <v>6</v>
      </c>
      <c r="U8" s="2"/>
      <c r="V8" s="3" t="s">
        <v>7</v>
      </c>
      <c r="Y8" s="1" t="s">
        <v>2</v>
      </c>
      <c r="Z8" s="1" t="s">
        <v>3</v>
      </c>
      <c r="AA8" s="2"/>
      <c r="AB8" s="3" t="s">
        <v>4</v>
      </c>
      <c r="AC8" s="4"/>
      <c r="AD8" s="1" t="s">
        <v>5</v>
      </c>
      <c r="AE8" s="1" t="s">
        <v>6</v>
      </c>
      <c r="AF8" s="2"/>
      <c r="AG8" s="3" t="s">
        <v>7</v>
      </c>
      <c r="AJ8" s="1" t="s">
        <v>2</v>
      </c>
      <c r="AK8" s="1" t="s">
        <v>3</v>
      </c>
      <c r="AL8" s="2"/>
      <c r="AM8" s="3" t="s">
        <v>4</v>
      </c>
      <c r="AN8" s="4"/>
      <c r="AO8" s="1" t="s">
        <v>5</v>
      </c>
      <c r="AP8" s="1" t="s">
        <v>6</v>
      </c>
      <c r="AQ8" s="2"/>
      <c r="AR8" s="3" t="s">
        <v>7</v>
      </c>
      <c r="AS8" s="103"/>
      <c r="AU8" s="1" t="s">
        <v>2</v>
      </c>
      <c r="AV8" s="1" t="s">
        <v>3</v>
      </c>
      <c r="AW8" s="2"/>
      <c r="AX8" s="3" t="s">
        <v>4</v>
      </c>
      <c r="AY8" s="4"/>
      <c r="AZ8" s="1" t="s">
        <v>5</v>
      </c>
      <c r="BA8" s="1" t="s">
        <v>6</v>
      </c>
      <c r="BB8" s="2"/>
      <c r="BC8" s="3" t="s">
        <v>7</v>
      </c>
      <c r="BD8" s="103"/>
      <c r="BF8" s="1" t="s">
        <v>2</v>
      </c>
      <c r="BG8" s="1" t="s">
        <v>3</v>
      </c>
      <c r="BH8" s="2"/>
      <c r="BI8" s="3" t="s">
        <v>4</v>
      </c>
      <c r="BJ8" s="4"/>
      <c r="BK8" s="1" t="s">
        <v>5</v>
      </c>
      <c r="BL8" s="1" t="s">
        <v>6</v>
      </c>
      <c r="BM8" s="2"/>
      <c r="BN8" s="3" t="s">
        <v>7</v>
      </c>
      <c r="BQ8" s="1" t="s">
        <v>2</v>
      </c>
      <c r="BR8" s="1" t="s">
        <v>3</v>
      </c>
      <c r="BS8" s="2"/>
      <c r="BT8" s="3" t="s">
        <v>4</v>
      </c>
      <c r="BU8" s="4"/>
      <c r="BV8" s="1" t="s">
        <v>5</v>
      </c>
      <c r="BW8" s="1" t="s">
        <v>6</v>
      </c>
      <c r="BX8" s="2"/>
      <c r="BY8" s="3" t="s">
        <v>7</v>
      </c>
      <c r="CB8" s="1" t="s">
        <v>2</v>
      </c>
      <c r="CC8" s="1" t="s">
        <v>3</v>
      </c>
      <c r="CD8" s="2"/>
      <c r="CE8" s="3" t="s">
        <v>4</v>
      </c>
      <c r="CF8" s="4"/>
      <c r="CG8" s="1" t="s">
        <v>5</v>
      </c>
      <c r="CH8" s="1" t="s">
        <v>6</v>
      </c>
      <c r="CI8" s="2"/>
      <c r="CJ8" s="3" t="s">
        <v>7</v>
      </c>
      <c r="CM8" s="1" t="s">
        <v>2</v>
      </c>
      <c r="CN8" s="1" t="s">
        <v>3</v>
      </c>
      <c r="CO8" s="2"/>
      <c r="CP8" s="3" t="s">
        <v>4</v>
      </c>
      <c r="CQ8" s="4"/>
      <c r="CR8" s="1" t="s">
        <v>5</v>
      </c>
      <c r="CS8" s="1" t="s">
        <v>6</v>
      </c>
      <c r="CT8" s="2"/>
      <c r="CU8" s="3" t="s">
        <v>7</v>
      </c>
      <c r="CX8" s="1" t="s">
        <v>2</v>
      </c>
      <c r="CY8" s="1" t="s">
        <v>3</v>
      </c>
      <c r="CZ8" s="2"/>
      <c r="DA8" s="3" t="s">
        <v>4</v>
      </c>
      <c r="DB8" s="4"/>
      <c r="DC8" s="1" t="s">
        <v>5</v>
      </c>
      <c r="DD8" s="1" t="s">
        <v>6</v>
      </c>
      <c r="DE8" s="2"/>
      <c r="DF8" s="3" t="s">
        <v>7</v>
      </c>
      <c r="DI8" s="1" t="s">
        <v>2</v>
      </c>
      <c r="DJ8" s="1" t="s">
        <v>3</v>
      </c>
      <c r="DK8" s="2"/>
      <c r="DL8" s="3" t="s">
        <v>4</v>
      </c>
      <c r="DM8" s="4"/>
      <c r="DN8" s="1" t="s">
        <v>5</v>
      </c>
      <c r="DO8" s="1" t="s">
        <v>6</v>
      </c>
      <c r="DP8" s="2"/>
      <c r="DQ8" s="3" t="s">
        <v>7</v>
      </c>
      <c r="DT8" s="1" t="s">
        <v>2</v>
      </c>
      <c r="DU8" s="1" t="s">
        <v>3</v>
      </c>
      <c r="DV8" s="2"/>
      <c r="DW8" s="3" t="s">
        <v>4</v>
      </c>
      <c r="DX8" s="4"/>
      <c r="DY8" s="1" t="s">
        <v>5</v>
      </c>
      <c r="DZ8" s="1" t="s">
        <v>6</v>
      </c>
      <c r="EA8" s="2"/>
      <c r="EB8" s="3" t="s">
        <v>7</v>
      </c>
      <c r="EE8" s="1" t="s">
        <v>2</v>
      </c>
      <c r="EF8" s="1" t="s">
        <v>3</v>
      </c>
      <c r="EG8" s="2"/>
      <c r="EH8" s="3" t="s">
        <v>4</v>
      </c>
      <c r="EI8" s="4"/>
      <c r="EJ8" s="1" t="s">
        <v>5</v>
      </c>
      <c r="EK8" s="1" t="s">
        <v>6</v>
      </c>
      <c r="EL8" s="2"/>
      <c r="EM8" s="3" t="s">
        <v>7</v>
      </c>
      <c r="EP8" s="1" t="s">
        <v>2</v>
      </c>
      <c r="EQ8" s="1" t="s">
        <v>3</v>
      </c>
      <c r="ER8" s="2"/>
      <c r="ES8" s="3" t="s">
        <v>4</v>
      </c>
      <c r="ET8" s="4"/>
      <c r="EU8" s="1" t="s">
        <v>5</v>
      </c>
      <c r="EV8" s="1" t="s">
        <v>6</v>
      </c>
      <c r="EW8" s="2"/>
      <c r="EX8" s="3" t="s">
        <v>7</v>
      </c>
      <c r="FA8" s="1" t="s">
        <v>2</v>
      </c>
      <c r="FB8" s="1" t="s">
        <v>3</v>
      </c>
      <c r="FC8" s="2"/>
      <c r="FD8" s="3" t="s">
        <v>4</v>
      </c>
      <c r="FE8" s="4"/>
      <c r="FF8" s="1" t="s">
        <v>5</v>
      </c>
      <c r="FG8" s="1" t="s">
        <v>6</v>
      </c>
      <c r="FH8" s="2"/>
      <c r="FI8" s="3" t="s">
        <v>7</v>
      </c>
      <c r="FL8" s="1" t="s">
        <v>2</v>
      </c>
      <c r="FM8" s="1" t="s">
        <v>3</v>
      </c>
      <c r="FN8" s="2"/>
      <c r="FO8" s="3" t="s">
        <v>4</v>
      </c>
      <c r="FP8" s="4"/>
      <c r="FQ8" s="1" t="s">
        <v>5</v>
      </c>
      <c r="FR8" s="1" t="s">
        <v>6</v>
      </c>
      <c r="FS8" s="2"/>
      <c r="FT8" s="3" t="s">
        <v>7</v>
      </c>
    </row>
    <row r="9" spans="2:176" ht="15" thickTop="1" x14ac:dyDescent="0.3">
      <c r="B9" t="s">
        <v>8</v>
      </c>
      <c r="C9" s="55">
        <f>N9+Y9</f>
        <v>6237.6717824736734</v>
      </c>
      <c r="D9" s="55">
        <f>O9+Z9</f>
        <v>6253.8319983770152</v>
      </c>
      <c r="E9" s="15"/>
      <c r="F9" s="60">
        <f>IFERROR((D9-C9)/C9,0)</f>
        <v>2.5907448270600084E-3</v>
      </c>
      <c r="G9" s="15"/>
      <c r="H9" s="55">
        <f>S9+AD9</f>
        <v>6360.9014597336591</v>
      </c>
      <c r="I9" s="55">
        <f>T9+AE9</f>
        <v>6687.4127955602416</v>
      </c>
      <c r="K9" s="60">
        <f>IFERROR(((I9/C9)^(1/3))-1,0)</f>
        <v>2.3478060792270883E-2</v>
      </c>
      <c r="M9" t="s">
        <v>8</v>
      </c>
      <c r="N9" s="242">
        <v>4548.9357426148899</v>
      </c>
      <c r="O9" s="242">
        <v>4504.8509461658359</v>
      </c>
      <c r="P9" s="239"/>
      <c r="Q9" s="247">
        <v>-9.6912330583312448E-3</v>
      </c>
      <c r="R9" s="239"/>
      <c r="S9" s="242">
        <v>4408.2892852940331</v>
      </c>
      <c r="T9" s="242">
        <v>4542.9292965231916</v>
      </c>
      <c r="U9" s="237"/>
      <c r="V9" s="247">
        <v>-4.4032949123473664E-4</v>
      </c>
      <c r="X9" t="s">
        <v>8</v>
      </c>
      <c r="Y9" s="55">
        <f t="shared" ref="Y9:Z11" si="0">AJ9+BQ9</f>
        <v>1688.7360398587832</v>
      </c>
      <c r="Z9" s="55">
        <f t="shared" si="0"/>
        <v>1748.9810522111795</v>
      </c>
      <c r="AA9" s="15"/>
      <c r="AB9" s="60">
        <f>IFERROR((Z9-Y9)/Y9,0)</f>
        <v>3.567461754261736E-2</v>
      </c>
      <c r="AC9" s="15"/>
      <c r="AD9" s="55">
        <f t="shared" ref="AD9:AE11" si="1">AO9+BV9</f>
        <v>1952.6121744396262</v>
      </c>
      <c r="AE9" s="55">
        <f t="shared" si="1"/>
        <v>2144.48349903705</v>
      </c>
      <c r="AG9" s="60">
        <f>IFERROR(((AE9/Y9)^(1/3))-1,0)</f>
        <v>8.2896572169646854E-2</v>
      </c>
      <c r="AI9" t="s">
        <v>8</v>
      </c>
      <c r="AJ9" s="55">
        <f>SUM([3]AC!$E$272:$H$275)/1000</f>
        <v>-118.02602609925735</v>
      </c>
      <c r="AK9" s="55">
        <f>SUM([3]AC!$I$272:$I$275)/1000</f>
        <v>-146.04421310470258</v>
      </c>
      <c r="AL9" s="15"/>
      <c r="AM9" s="60">
        <f>IFERROR((AK9-AJ9)/AJ9,0)</f>
        <v>0.23738990400204218</v>
      </c>
      <c r="AN9" s="15"/>
      <c r="AO9" s="55">
        <f>SUM([3]AC!$J$272:$J$275)/1000</f>
        <v>-148.62032070698325</v>
      </c>
      <c r="AP9" s="55">
        <f>SUM([3]AC!$K$272:$K$275)/1000</f>
        <v>-195.72363700879708</v>
      </c>
      <c r="AR9" s="60">
        <f>IFERROR(((AP9/AJ9)^(1/3))-1,0)</f>
        <v>0.18364598928540632</v>
      </c>
      <c r="AS9" s="104"/>
      <c r="AT9" t="s">
        <v>8</v>
      </c>
      <c r="AU9" s="55">
        <f>SUM([4]AC!$E$272:$H$275)/1000</f>
        <v>-95.382369451450856</v>
      </c>
      <c r="AV9" s="55">
        <f>SUM([4]AC!$I$272:$I$275)/1000</f>
        <v>-135.44530729857942</v>
      </c>
      <c r="AW9" s="15"/>
      <c r="AX9" s="60">
        <f>IFERROR((AV9-AU9)/AU9,0)</f>
        <v>0.4200245609071433</v>
      </c>
      <c r="AY9" s="15"/>
      <c r="AZ9" s="55">
        <f>SUM([4]AC!$J$272:$J$275)/1000</f>
        <v>-130.4790175359702</v>
      </c>
      <c r="BA9" s="55">
        <f>SUM([4]AC!$K$272:$K$275)/1000</f>
        <v>-137.94688370569207</v>
      </c>
      <c r="BC9" s="60">
        <f>IFERROR(((BA9/AU9)^(1/3))-1,0)</f>
        <v>0.13087498021058996</v>
      </c>
      <c r="BD9" s="104"/>
      <c r="BE9" t="s">
        <v>8</v>
      </c>
      <c r="BF9" s="55">
        <f t="shared" ref="BF9:BG11" si="2">AJ9-AU9</f>
        <v>-22.643656647806495</v>
      </c>
      <c r="BG9" s="55">
        <f t="shared" si="2"/>
        <v>-10.598905806123156</v>
      </c>
      <c r="BH9" s="15"/>
      <c r="BI9" s="60">
        <f>IFERROR((BG9-BF9)/BF9,0)</f>
        <v>-0.53192605015277517</v>
      </c>
      <c r="BJ9" s="15"/>
      <c r="BK9" s="55">
        <f>AO9-AZ9</f>
        <v>-18.14130317101305</v>
      </c>
      <c r="BL9" s="55">
        <f>AP9-BA9</f>
        <v>-57.776753303105011</v>
      </c>
      <c r="BN9" s="60">
        <f>IFERROR(((BL9/BF9)^(1/3))-1,0)</f>
        <v>0.36647657412101875</v>
      </c>
      <c r="BP9" t="s">
        <v>8</v>
      </c>
      <c r="BQ9" s="55">
        <f>CB9+DI9+DT9+EE9+EP9</f>
        <v>1806.7620659580405</v>
      </c>
      <c r="BR9" s="55">
        <f>CC9+DJ9+DU9+EF9+EQ9</f>
        <v>1895.0252653158821</v>
      </c>
      <c r="BS9" s="15"/>
      <c r="BT9" s="155">
        <f>IFERROR((BR9-BQ9)/BQ9,0)</f>
        <v>4.8851589825160399E-2</v>
      </c>
      <c r="BU9" s="15"/>
      <c r="BV9" s="55">
        <f>CG9+DN9+DY9+EJ9+EU9</f>
        <v>2101.2324951466094</v>
      </c>
      <c r="BW9" s="55">
        <f>CH9+DO9+DZ9+EK9+EV9</f>
        <v>2340.2071360458472</v>
      </c>
      <c r="BY9" s="155">
        <f>IFERROR(((BW9/BQ9)^(1/3))-1,0)</f>
        <v>9.006177822053596E-2</v>
      </c>
      <c r="CA9" t="s">
        <v>8</v>
      </c>
      <c r="CB9" s="55">
        <f>CM9+CX9</f>
        <v>1390.5129808716206</v>
      </c>
      <c r="CC9" s="55">
        <f>CN9+CY9</f>
        <v>1652.2623911081307</v>
      </c>
      <c r="CD9" s="15"/>
      <c r="CE9" s="155">
        <f>IFERROR((CC9-CB9)/CB9,0)</f>
        <v>0.1882394582698802</v>
      </c>
      <c r="CF9" s="15"/>
      <c r="CG9" s="55">
        <f t="shared" ref="CG9:CG11" si="3">CR9+DC9</f>
        <v>1906.2143537091677</v>
      </c>
      <c r="CH9" s="55">
        <f t="shared" ref="CH9:CH11" si="4">CS9+DD9</f>
        <v>2140.5888635476927</v>
      </c>
      <c r="CJ9" s="155">
        <f>IFERROR(((CH9/CB9)^(1/3))-1,0)</f>
        <v>0.1546563227935196</v>
      </c>
      <c r="CL9" t="s">
        <v>8</v>
      </c>
      <c r="CM9" s="55">
        <f>SUM([5]AN01010300!$E$272:$H$275)/1000</f>
        <v>678.12072058523665</v>
      </c>
      <c r="CN9" s="55">
        <f>SUM([5]AN01010300!$I$272:$I$275)/1000</f>
        <v>857.4419085823431</v>
      </c>
      <c r="CO9" s="15"/>
      <c r="CP9" s="155">
        <f>IFERROR((CN9-CM9)/CM9,0)</f>
        <v>0.26443844370711367</v>
      </c>
      <c r="CQ9" s="15"/>
      <c r="CR9" s="55">
        <f>SUM([5]AN01010300!$J$272:$J$275)/1000</f>
        <v>1000.8284055716988</v>
      </c>
      <c r="CS9" s="55">
        <f>SUM([5]AN01010300!$K$272:$K$275)/1000</f>
        <v>1104.1841889717673</v>
      </c>
      <c r="CU9" s="155">
        <f>IFERROR(((CS9/CM9)^(1/3))-1,0)</f>
        <v>0.17646272010998953</v>
      </c>
      <c r="CW9" t="s">
        <v>8</v>
      </c>
      <c r="CX9" s="55">
        <f>SUM('[5]BC1010:BC1015'!$E$272:$H$275)/1000</f>
        <v>712.39226028638404</v>
      </c>
      <c r="CY9" s="55">
        <f>SUM('[5]BC1010:BC1015'!$I$272:$I$275)/1000</f>
        <v>794.82048252578761</v>
      </c>
      <c r="CZ9" s="15"/>
      <c r="DA9" s="155">
        <f>IFERROR((CY9-CX9)/CX9,0)</f>
        <v>0.115706229326898</v>
      </c>
      <c r="DB9" s="15"/>
      <c r="DC9" s="55">
        <f>SUM('[5]BC1010:BC1015'!$J$272:$J$275)/1000</f>
        <v>905.38594813746886</v>
      </c>
      <c r="DD9" s="55">
        <f>SUM('[5]BC1010:BC1015'!$K$272:$K$275)/1000</f>
        <v>1036.4046745759254</v>
      </c>
      <c r="DF9" s="155">
        <f>IFERROR(((DD9/CX9)^(1/3))-1,0)</f>
        <v>0.13310474157503016</v>
      </c>
      <c r="DH9" t="s">
        <v>8</v>
      </c>
      <c r="DI9" s="55">
        <f>SUM([5]AN02020100:AN02020150!$E$272:$H$275)/1000</f>
        <v>176.27103225309889</v>
      </c>
      <c r="DJ9" s="55">
        <f>SUM([5]AN02020100:AN02020150!$I$272:$I$275)/1000</f>
        <v>189.9714874376813</v>
      </c>
      <c r="DK9" s="15"/>
      <c r="DL9" s="155">
        <f>IFERROR((DJ9-DI9)/DI9,0)</f>
        <v>7.7723804129714302E-2</v>
      </c>
      <c r="DM9" s="15"/>
      <c r="DN9" s="55">
        <f>SUM([5]AN02020100:AN02020150!$J$272:$J$275)/1000</f>
        <v>189.82682708662213</v>
      </c>
      <c r="DO9" s="55">
        <f>SUM([5]AN02020100:AN02020150!$K$272:$K$275)/1000</f>
        <v>185.87728225017648</v>
      </c>
      <c r="DQ9" s="155">
        <f>IFERROR(((DO9/DI9)^(1/3))-1,0)</f>
        <v>1.7845330800493109E-2</v>
      </c>
      <c r="DS9" t="s">
        <v>8</v>
      </c>
      <c r="DT9" s="55">
        <f>SUM([5]BC1020!$E$272:$H$275)/1000</f>
        <v>12.392710962096865</v>
      </c>
      <c r="DU9" s="55">
        <f>SUM([5]BC1020!$I$272:$I$275)/1000</f>
        <v>18.487499744081418</v>
      </c>
      <c r="DV9" s="15"/>
      <c r="DW9" s="155">
        <f>IFERROR((DU9-DT9)/DT9,0)</f>
        <v>0.49180431954117854</v>
      </c>
      <c r="DX9" s="15"/>
      <c r="DY9" s="55">
        <f>SUM([5]BC1020!$J$272:$J$275)/1000</f>
        <v>23.568857930388084</v>
      </c>
      <c r="DZ9" s="55">
        <f>SUM([5]BC1020!$K$272:$K$275)/1000</f>
        <v>29.47367149312381</v>
      </c>
      <c r="EB9" s="155">
        <f>IFERROR(((DZ9/DT9)^(1/3))-1,0)</f>
        <v>0.33481979757014191</v>
      </c>
      <c r="ED9" t="s">
        <v>8</v>
      </c>
      <c r="EE9" s="55">
        <f>SUM([5]FC!$E$272:$H$275)/1000</f>
        <v>-20.343606375024269</v>
      </c>
      <c r="EF9" s="55">
        <f>SUM([5]FC!$I$272:$I$275)/1000</f>
        <v>-15.921086315374479</v>
      </c>
      <c r="EG9" s="15"/>
      <c r="EH9" s="155">
        <f>IFERROR((EF9-EE9)/EE9,0)</f>
        <v>-0.21739115366876605</v>
      </c>
      <c r="EI9" s="15"/>
      <c r="EJ9" s="55">
        <f>SUM([5]FC!$J$272:$J$275)/1000</f>
        <v>-7.6872121438679129</v>
      </c>
      <c r="EK9" s="55">
        <f>SUM([5]FC!$K$272:$K$275)/1000</f>
        <v>-0.74317386790248419</v>
      </c>
      <c r="EM9" s="155">
        <f>IFERROR(((EK9/EE9)^(1/3))-1,0)</f>
        <v>-0.66819150907358749</v>
      </c>
      <c r="EO9" t="s">
        <v>8</v>
      </c>
      <c r="EP9" s="55">
        <f>SUM([5]AC!$E$272:$H$275)/1000</f>
        <v>247.92894824624855</v>
      </c>
      <c r="EQ9" s="55">
        <f>SUM([5]AC!$I$272:$I$275)/1000</f>
        <v>50.22497334136299</v>
      </c>
      <c r="ER9" s="15"/>
      <c r="ES9" s="155">
        <f>IFERROR((EQ9-EP9)/EP9,0)</f>
        <v>-0.79742190778190847</v>
      </c>
      <c r="ET9" s="15"/>
      <c r="EU9" s="55">
        <f>SUM([5]AC!$J$272:$J$275)/1000</f>
        <v>-10.690331435701097</v>
      </c>
      <c r="EV9" s="55">
        <f>SUM([5]AC!$K$272:$K$275)/1000</f>
        <v>-14.989507377243005</v>
      </c>
      <c r="EX9" s="155">
        <f>IFERROR(((EV9/EP9)^(1/3))-1,0)</f>
        <v>-1.3924822682080058</v>
      </c>
      <c r="EZ9" t="s">
        <v>8</v>
      </c>
      <c r="FA9" s="55">
        <f>SUM([6]AC!$E$272:$H$275)/1000</f>
        <v>-28.149823563415772</v>
      </c>
      <c r="FB9" s="55">
        <f>SUM([6]AC!$I$272:$I$275)/1000</f>
        <v>-211.06975146134218</v>
      </c>
      <c r="FC9" s="15"/>
      <c r="FD9" s="155">
        <f>IFERROR((FB9-FA9)/FA9,0)</f>
        <v>6.4980843480544515</v>
      </c>
      <c r="FE9" s="15"/>
      <c r="FF9" s="55">
        <f>SUM([6]AC!$J$272:$J$275)/1000</f>
        <v>-314.93269727635919</v>
      </c>
      <c r="FG9" s="55">
        <f>SUM([6]AC!$K$272:$K$275)/1000</f>
        <v>-349.01666058001473</v>
      </c>
      <c r="FI9" s="155">
        <f>IFERROR(((FG9/FA9)^(1/3))-1,0)</f>
        <v>1.314498092706553</v>
      </c>
      <c r="FK9" t="s">
        <v>8</v>
      </c>
      <c r="FL9" s="55">
        <f t="shared" ref="FL9:FM11" si="5">EP9-FA9</f>
        <v>276.07877180966432</v>
      </c>
      <c r="FM9" s="55">
        <f t="shared" si="5"/>
        <v>261.29472480270516</v>
      </c>
      <c r="FN9" s="15"/>
      <c r="FO9" s="155">
        <f>IFERROR((FM9-FL9)/FL9,0)</f>
        <v>-5.3550104233119566E-2</v>
      </c>
      <c r="FP9" s="15"/>
      <c r="FQ9" s="55">
        <f t="shared" ref="FQ9:FR11" si="6">EU9-FF9</f>
        <v>304.24236584065807</v>
      </c>
      <c r="FR9" s="55">
        <f t="shared" si="6"/>
        <v>334.02715320277173</v>
      </c>
      <c r="FT9" s="155">
        <f>IFERROR(((FR9/FL9)^(1/3))-1,0)</f>
        <v>6.5572292689500378E-2</v>
      </c>
    </row>
    <row r="10" spans="2:176" x14ac:dyDescent="0.3">
      <c r="B10" t="s">
        <v>9</v>
      </c>
      <c r="C10" s="55">
        <f t="shared" ref="C10:C11" si="7">N10+Y10</f>
        <v>1159.0164211147971</v>
      </c>
      <c r="D10" s="55">
        <f t="shared" ref="D10:D11" si="8">O10+Z10</f>
        <v>1120.3263610623394</v>
      </c>
      <c r="E10" s="15"/>
      <c r="F10" s="60">
        <f t="shared" ref="F10:F11" si="9">IFERROR((D10-C10)/C10,0)</f>
        <v>-3.3381804905959656E-2</v>
      </c>
      <c r="G10" s="15"/>
      <c r="H10" s="55">
        <f t="shared" ref="H10:H11" si="10">S10+AD10</f>
        <v>1234.6172785663089</v>
      </c>
      <c r="I10" s="55">
        <f t="shared" ref="I10:I11" si="11">T10+AE10</f>
        <v>1426.2401438612201</v>
      </c>
      <c r="K10" s="95">
        <f t="shared" ref="K10:K23" si="12">IFERROR(((I10/C10)^(1/3))-1,0)</f>
        <v>7.1604073149977188E-2</v>
      </c>
      <c r="M10" t="s">
        <v>9</v>
      </c>
      <c r="N10" s="242">
        <v>580.37873177402628</v>
      </c>
      <c r="O10" s="242">
        <v>571.35989232330917</v>
      </c>
      <c r="P10" s="239"/>
      <c r="Q10" s="247">
        <v>-1.5539576068112444E-2</v>
      </c>
      <c r="R10" s="239"/>
      <c r="S10" s="242">
        <v>606.24976756910121</v>
      </c>
      <c r="T10" s="242">
        <v>731.23281879575802</v>
      </c>
      <c r="U10" s="237"/>
      <c r="V10" s="251">
        <v>8.006044675079993E-2</v>
      </c>
      <c r="X10" t="s">
        <v>9</v>
      </c>
      <c r="Y10" s="55">
        <f t="shared" si="0"/>
        <v>578.63768934077086</v>
      </c>
      <c r="Z10" s="55">
        <f t="shared" si="0"/>
        <v>548.96646873903035</v>
      </c>
      <c r="AA10" s="15"/>
      <c r="AB10" s="60">
        <f t="shared" ref="AB10:AB12" si="13">IFERROR((Z10-Y10)/Y10,0)</f>
        <v>-5.1277718593727074E-2</v>
      </c>
      <c r="AC10" s="15"/>
      <c r="AD10" s="55">
        <f t="shared" si="1"/>
        <v>628.36751099720777</v>
      </c>
      <c r="AE10" s="55">
        <f t="shared" si="1"/>
        <v>695.00732506546217</v>
      </c>
      <c r="AG10" s="95">
        <f t="shared" ref="AG10:AG23" si="14">IFERROR(((AE10/Y10)^(1/3))-1,0)</f>
        <v>6.2986024412059027E-2</v>
      </c>
      <c r="AI10" t="s">
        <v>9</v>
      </c>
      <c r="AJ10" s="55">
        <f>SUM([3]AC!$E$277:$H$277,[3]AC!$E$283:$H$376)/1000</f>
        <v>-88.226061950000016</v>
      </c>
      <c r="AK10" s="55">
        <f>([3]AC!$I$277+SUM([3]AC!$I$283:$I$376))/1000</f>
        <v>49.999999999999979</v>
      </c>
      <c r="AL10" s="15"/>
      <c r="AM10" s="60">
        <f t="shared" ref="AM10:AM12" si="15">IFERROR((AK10-AJ10)/AJ10,0)</f>
        <v>-1.5667259639032316</v>
      </c>
      <c r="AN10" s="15"/>
      <c r="AO10" s="55">
        <f>([3]AC!$J$277+SUM([3]AC!$J$283:$J$376))/1000</f>
        <v>70.000000000000014</v>
      </c>
      <c r="AP10" s="55">
        <f>([3]AC!$K$277+SUM([3]AC!$K$283:$K$376))/1000</f>
        <v>70.000000000000014</v>
      </c>
      <c r="AR10" s="95">
        <f t="shared" ref="AR10:AR23" si="16">IFERROR(((AP10/AJ10)^(1/3))-1,0)</f>
        <v>-1.9257641990427041</v>
      </c>
      <c r="AS10" s="104"/>
      <c r="AT10" t="s">
        <v>9</v>
      </c>
      <c r="AU10" s="55">
        <f>SUM([4]AC!$E$277:$H$277,[4]AC!$E$283:$H$376)/1000</f>
        <v>0</v>
      </c>
      <c r="AV10" s="55">
        <f>([4]AC!$I$277+SUM([4]AC!$I$283:$I$376))/1000</f>
        <v>0</v>
      </c>
      <c r="AW10" s="15"/>
      <c r="AX10" s="60">
        <f t="shared" ref="AX10:AX12" si="17">IFERROR((AV10-AU10)/AU10,0)</f>
        <v>0</v>
      </c>
      <c r="AY10" s="15"/>
      <c r="AZ10" s="55">
        <f>([4]AC!$J$277+SUM([4]AC!$J$283:$J$376))/1000</f>
        <v>0</v>
      </c>
      <c r="BA10" s="55">
        <f>([4]AC!$K$277+SUM([4]AC!$K$283:$K$376))/1000</f>
        <v>0</v>
      </c>
      <c r="BC10" s="95">
        <f t="shared" ref="BC10:BC12" si="18">IFERROR(((BA10/AU10)^(1/3))-1,0)</f>
        <v>0</v>
      </c>
      <c r="BD10" s="104"/>
      <c r="BE10" t="s">
        <v>9</v>
      </c>
      <c r="BF10" s="55">
        <f t="shared" si="2"/>
        <v>-88.226061950000016</v>
      </c>
      <c r="BG10" s="55">
        <f t="shared" si="2"/>
        <v>49.999999999999979</v>
      </c>
      <c r="BH10" s="15"/>
      <c r="BI10" s="60">
        <f t="shared" ref="BI10:BI12" si="19">IFERROR((BG10-BF10)/BF10,0)</f>
        <v>-1.5667259639032316</v>
      </c>
      <c r="BJ10" s="15"/>
      <c r="BK10" s="55">
        <f t="shared" ref="BK10:BK11" si="20">AO10-AZ10</f>
        <v>70.000000000000014</v>
      </c>
      <c r="BL10" s="55">
        <f t="shared" ref="BL10:BL11" si="21">AP10-BA10</f>
        <v>70.000000000000014</v>
      </c>
      <c r="BN10" s="95">
        <f t="shared" ref="BN10:BN12" si="22">IFERROR(((BL10/BF10)^(1/3))-1,0)</f>
        <v>-1.9257641990427041</v>
      </c>
      <c r="BP10" t="s">
        <v>9</v>
      </c>
      <c r="BQ10" s="55">
        <f>CB10+DI10+DT10+EE10+EP10</f>
        <v>666.86375129077089</v>
      </c>
      <c r="BR10" s="55">
        <f>CC10+DJ10+DU10+EF10+EQ10</f>
        <v>498.9664687390304</v>
      </c>
      <c r="BS10" s="15"/>
      <c r="BT10" s="155">
        <f t="shared" ref="BT10:BT12" si="23">IFERROR((BR10-BQ10)/BQ10,0)</f>
        <v>-0.25177149339240762</v>
      </c>
      <c r="BU10" s="15"/>
      <c r="BV10" s="55">
        <f>CG10+DN10+DY10+EJ10+EU10</f>
        <v>558.36751099720777</v>
      </c>
      <c r="BW10" s="55">
        <f>CH10+DO10+DZ10+EK10+EV10</f>
        <v>625.00732506546217</v>
      </c>
      <c r="BY10" s="159">
        <f t="shared" ref="BY10:BY23" si="24">IFERROR(((BW10/BQ10)^(1/3))-1,0)</f>
        <v>-2.1375692568250337E-2</v>
      </c>
      <c r="CA10" t="s">
        <v>9</v>
      </c>
      <c r="CB10" s="55">
        <f t="shared" ref="CB10:CB11" si="25">CM10+CX10</f>
        <v>381.03494823786747</v>
      </c>
      <c r="CC10" s="55">
        <f t="shared" ref="CC10:CC11" si="26">CN10+CY10</f>
        <v>374.3744234458166</v>
      </c>
      <c r="CD10" s="15"/>
      <c r="CE10" s="155">
        <f t="shared" ref="CE10:CE12" si="27">IFERROR((CC10-CB10)/CB10,0)</f>
        <v>-1.7480088959957868E-2</v>
      </c>
      <c r="CF10" s="15"/>
      <c r="CG10" s="55">
        <f t="shared" si="3"/>
        <v>423.24743419305162</v>
      </c>
      <c r="CH10" s="55">
        <f t="shared" si="4"/>
        <v>470.78781445462971</v>
      </c>
      <c r="CJ10" s="159">
        <f t="shared" ref="CJ10:CJ23" si="28">IFERROR(((CH10/CB10)^(1/3))-1,0)</f>
        <v>7.305043321897009E-2</v>
      </c>
      <c r="CL10" t="s">
        <v>9</v>
      </c>
      <c r="CM10" s="55">
        <f>SUM([5]AN01010300!$E$277:$H$277,[5]AN01010300!$E$283:$H$376)/1000</f>
        <v>275.27090586793918</v>
      </c>
      <c r="CN10" s="55">
        <f>([5]AN01010300!$I$277+SUM([5]AN01010300!$I$283:$I$376))/1000</f>
        <v>265.55524782586161</v>
      </c>
      <c r="CO10" s="15"/>
      <c r="CP10" s="155">
        <f t="shared" ref="CP10:CP12" si="29">IFERROR((CN10-CM10)/CM10,0)</f>
        <v>-3.5294896173076268E-2</v>
      </c>
      <c r="CQ10" s="15"/>
      <c r="CR10" s="55">
        <f>([5]AN01010300!$J$277+SUM([5]AN01010300!$J$283:$J$376))/1000</f>
        <v>293.15493603044933</v>
      </c>
      <c r="CS10" s="55">
        <f>([5]AN01010300!$K$277+SUM([5]AN01010300!$K$283:$K$376))/1000</f>
        <v>324.87025855639251</v>
      </c>
      <c r="CU10" s="159">
        <f t="shared" ref="CU10:CU23" si="30">IFERROR(((CS10/CM10)^(1/3))-1,0)</f>
        <v>5.6776662766317321E-2</v>
      </c>
      <c r="CW10" t="s">
        <v>9</v>
      </c>
      <c r="CX10" s="55">
        <f>SUM('[5]BC1010:BC1015'!$E$277:$H$277,'[5]BC1010:BC1015'!$E$283:$H$376)/1000</f>
        <v>105.76404236992829</v>
      </c>
      <c r="CY10" s="55">
        <f>SUM('[5]BC1010:BC1015'!$I$277,'[5]BC1010:BC1015'!$I$283:$I$376)/1000</f>
        <v>108.81917561995499</v>
      </c>
      <c r="CZ10" s="15"/>
      <c r="DA10" s="155">
        <f t="shared" ref="DA10:DA12" si="31">IFERROR((CY10-CX10)/CX10,0)</f>
        <v>2.8886313170035947E-2</v>
      </c>
      <c r="DB10" s="15"/>
      <c r="DC10" s="55">
        <f>SUM('[5]BC1010:BC1015'!$J$277,'[5]BC1010:BC1015'!$J$283:$J$376)/1000</f>
        <v>130.09249816260225</v>
      </c>
      <c r="DD10" s="55">
        <f>SUM('[5]BC1010:BC1015'!$K$277,'[5]BC1010:BC1015'!$K$283:$K$376)/1000</f>
        <v>145.91755589823723</v>
      </c>
      <c r="DF10" s="159">
        <f t="shared" ref="DF10:DF23" si="32">IFERROR(((DD10/CX10)^(1/3))-1,0)</f>
        <v>0.11324264643171356</v>
      </c>
      <c r="DH10" t="s">
        <v>9</v>
      </c>
      <c r="DI10" s="55">
        <f>SUM([5]AN02020100:AN02020150!$E$277:$H$277,[5]AN02020100:AN02020150!$E$283:$H$376)/1000</f>
        <v>114.81673534275529</v>
      </c>
      <c r="DJ10" s="55">
        <f>SUM([5]AN02020100:AN02020150!$I$277,[5]AN02020100:AN02020150!$I$283:$I$376)/1000</f>
        <v>122.43586353343828</v>
      </c>
      <c r="DK10" s="15"/>
      <c r="DL10" s="155">
        <f t="shared" ref="DL10:DL12" si="33">IFERROR((DJ10-DI10)/DI10,0)</f>
        <v>6.6359038758052769E-2</v>
      </c>
      <c r="DM10" s="15"/>
      <c r="DN10" s="55">
        <f>SUM([5]AN02020100:AN02020150!$J$277,[5]AN02020100:AN02020150!$J$283:$J$376)/1000</f>
        <v>138.5533865844875</v>
      </c>
      <c r="DO10" s="55">
        <f>SUM([5]AN02020100:AN02020150!$K$277,[5]AN02020100:AN02020150!$K$283:$K$376)/1000</f>
        <v>159.65761200509067</v>
      </c>
      <c r="DQ10" s="159">
        <f t="shared" ref="DQ10:DQ23" si="34">IFERROR(((DO10/DI10)^(1/3))-1,0)</f>
        <v>0.11616434457626634</v>
      </c>
      <c r="DS10" t="s">
        <v>9</v>
      </c>
      <c r="DT10" s="55">
        <f>SUM([5]BC1020!$E$277:$H$277,[5]BC1020!$E$283:$H$376)/1000</f>
        <v>1.133187166270075</v>
      </c>
      <c r="DU10" s="55">
        <f>([5]BC1020!$I$277+SUM([5]BC1020!$I$283:$I$376))/1000</f>
        <v>1.3212137716394077</v>
      </c>
      <c r="DV10" s="15"/>
      <c r="DW10" s="155">
        <f t="shared" ref="DW10:DW12" si="35">IFERROR((DU10-DT10)/DT10,0)</f>
        <v>0.16592722805732862</v>
      </c>
      <c r="DX10" s="15"/>
      <c r="DY10" s="55">
        <f>([5]BC1020!$J$277+SUM([5]BC1020!$J$283:$J$376))/1000</f>
        <v>1.533947462900086</v>
      </c>
      <c r="DZ10" s="55">
        <f>([5]BC1020!$K$277+SUM([5]BC1020!$K$283:$K$376))/1000</f>
        <v>1.7871358279859786</v>
      </c>
      <c r="EB10" s="159">
        <f t="shared" ref="EB10:EB23" si="36">IFERROR(((DZ10/DT10)^(1/3))-1,0)</f>
        <v>0.1639972958791831</v>
      </c>
      <c r="ED10" t="s">
        <v>9</v>
      </c>
      <c r="EE10" s="55">
        <f>SUM([5]FC!$E$277:$H$277,[5]FC!$E$283:$H$376)/1000</f>
        <v>4.4999999999999996E-5</v>
      </c>
      <c r="EF10" s="55">
        <f>([5]FC!$I$277+SUM([5]FC!$I$283:$I$376))/1000</f>
        <v>0</v>
      </c>
      <c r="EG10" s="15"/>
      <c r="EH10" s="155">
        <f t="shared" ref="EH10:EH12" si="37">IFERROR((EF10-EE10)/EE10,0)</f>
        <v>-1</v>
      </c>
      <c r="EI10" s="15"/>
      <c r="EJ10" s="55">
        <f>([5]FC!$J$277+SUM([5]FC!$J$283:$J$376))/1000</f>
        <v>0</v>
      </c>
      <c r="EK10" s="55">
        <f>([5]FC!$K$277+SUM([5]FC!$K$283:$K$376))/1000</f>
        <v>0</v>
      </c>
      <c r="EM10" s="159">
        <f t="shared" ref="EM10:EM23" si="38">IFERROR(((EK10/EE10)^(1/3))-1,0)</f>
        <v>-1</v>
      </c>
      <c r="EO10" t="s">
        <v>9</v>
      </c>
      <c r="EP10" s="55">
        <f>SUM([5]AC!$E$277:$H$277,[5]AC!$E$283:$H$376)/1000</f>
        <v>169.87883554387807</v>
      </c>
      <c r="EQ10" s="55">
        <f>([5]AC!$I$277+SUM([5]AC!$I$283:$I$376))/1000</f>
        <v>0.83496798813608619</v>
      </c>
      <c r="ER10" s="15"/>
      <c r="ES10" s="155">
        <f t="shared" ref="ES10:ES12" si="39">IFERROR((EQ10-EP10)/EP10,0)</f>
        <v>-0.99508492046426567</v>
      </c>
      <c r="ET10" s="15"/>
      <c r="EU10" s="55">
        <f>([5]AC!$J$277+SUM([5]AC!$J$283:$J$376))/1000</f>
        <v>-4.9672572432314226</v>
      </c>
      <c r="EV10" s="55">
        <f>([5]AC!$K$277+SUM([5]AC!$K$283:$K$376))/1000</f>
        <v>-7.2252372222441519</v>
      </c>
      <c r="EX10" s="159">
        <f t="shared" ref="EX10:EX23" si="40">IFERROR(((EV10/EP10)^(1/3))-1,0)</f>
        <v>-1.3490633709472544</v>
      </c>
      <c r="EZ10" t="s">
        <v>9</v>
      </c>
      <c r="FA10" s="55">
        <f>SUM([6]AC!$E$277:$H$277,[6]AC!$E$283:$H$376)/1000</f>
        <v>29.332202769999999</v>
      </c>
      <c r="FB10" s="55">
        <f>([6]AC!$I$277+SUM([6]AC!$I$283:$I$376))/1000</f>
        <v>0</v>
      </c>
      <c r="FC10" s="15"/>
      <c r="FD10" s="155">
        <f t="shared" ref="FD10:FD12" si="41">IFERROR((FB10-FA10)/FA10,0)</f>
        <v>-1</v>
      </c>
      <c r="FE10" s="15"/>
      <c r="FF10" s="55">
        <f>([6]AC!$J$277+SUM([6]AC!$J$283:$J$376))/1000</f>
        <v>0</v>
      </c>
      <c r="FG10" s="55">
        <f>([6]AC!$K$277+SUM([6]AC!$K$283:$K$376))/1000</f>
        <v>0</v>
      </c>
      <c r="FI10" s="159">
        <f t="shared" ref="FI10:FI23" si="42">IFERROR(((FG10/FA10)^(1/3))-1,0)</f>
        <v>-1</v>
      </c>
      <c r="FK10" t="s">
        <v>9</v>
      </c>
      <c r="FL10" s="55">
        <f t="shared" si="5"/>
        <v>140.54663277387806</v>
      </c>
      <c r="FM10" s="55">
        <f t="shared" si="5"/>
        <v>0.83496798813608619</v>
      </c>
      <c r="FN10" s="15"/>
      <c r="FO10" s="155">
        <f t="shared" ref="FO10:FO12" si="43">IFERROR((FM10-FL10)/FL10,0)</f>
        <v>-0.99405913915077948</v>
      </c>
      <c r="FP10" s="15"/>
      <c r="FQ10" s="55">
        <f t="shared" si="6"/>
        <v>-4.9672572432314226</v>
      </c>
      <c r="FR10" s="55">
        <f t="shared" si="6"/>
        <v>-7.2252372222441519</v>
      </c>
      <c r="FT10" s="159">
        <f t="shared" ref="FT10:FT23" si="44">IFERROR(((FR10/FL10)^(1/3))-1,0)</f>
        <v>-1.3718295392585549</v>
      </c>
    </row>
    <row r="11" spans="2:176" x14ac:dyDescent="0.3">
      <c r="B11" t="s">
        <v>100</v>
      </c>
      <c r="C11" s="55">
        <f t="shared" si="7"/>
        <v>366.7016925479968</v>
      </c>
      <c r="D11" s="55">
        <f t="shared" si="8"/>
        <v>474.11751129780362</v>
      </c>
      <c r="E11" s="15"/>
      <c r="F11" s="60">
        <f t="shared" si="9"/>
        <v>0.29292425132656674</v>
      </c>
      <c r="G11" s="15"/>
      <c r="H11" s="55">
        <f t="shared" si="10"/>
        <v>510.52190166812642</v>
      </c>
      <c r="I11" s="55">
        <f t="shared" si="11"/>
        <v>471.14806749372246</v>
      </c>
      <c r="K11" s="95">
        <f t="shared" si="12"/>
        <v>8.7130048437041197E-2</v>
      </c>
      <c r="M11" t="s">
        <v>100</v>
      </c>
      <c r="N11" s="242">
        <v>322.5909576889951</v>
      </c>
      <c r="O11" s="242">
        <v>403.8530427771671</v>
      </c>
      <c r="P11" s="239"/>
      <c r="Q11" s="247">
        <v>0.25190441068256941</v>
      </c>
      <c r="R11" s="239"/>
      <c r="S11" s="242">
        <v>479.27441115977348</v>
      </c>
      <c r="T11" s="242">
        <v>490.88866548150196</v>
      </c>
      <c r="U11" s="237"/>
      <c r="V11" s="251">
        <v>0.15020946803579749</v>
      </c>
      <c r="X11" t="s">
        <v>100</v>
      </c>
      <c r="Y11" s="55">
        <f t="shared" si="0"/>
        <v>44.110734859001667</v>
      </c>
      <c r="Z11" s="55">
        <f t="shared" si="0"/>
        <v>70.264468520636541</v>
      </c>
      <c r="AA11" s="15"/>
      <c r="AB11" s="60">
        <f t="shared" si="13"/>
        <v>0.59291085821250356</v>
      </c>
      <c r="AC11" s="15"/>
      <c r="AD11" s="55">
        <f t="shared" si="1"/>
        <v>31.247490508352939</v>
      </c>
      <c r="AE11" s="55">
        <f t="shared" si="1"/>
        <v>-19.740597987779481</v>
      </c>
      <c r="AG11" s="95">
        <f t="shared" si="14"/>
        <v>-1.7649011909604877</v>
      </c>
      <c r="AI11" t="s">
        <v>100</v>
      </c>
      <c r="AJ11" s="55">
        <f>SUM([3]AC!$E$378:$H$384)/1000</f>
        <v>-1.315426930000001E-3</v>
      </c>
      <c r="AK11" s="55">
        <f>SUM([3]AC!$I$378:$I$384)/1000</f>
        <v>0</v>
      </c>
      <c r="AL11" s="15"/>
      <c r="AM11" s="60">
        <f t="shared" si="15"/>
        <v>-1</v>
      </c>
      <c r="AN11" s="15"/>
      <c r="AO11" s="55">
        <f>SUM([3]AC!$J$378:$J$384)/1000</f>
        <v>0</v>
      </c>
      <c r="AP11" s="55">
        <f>SUM([3]AC!$K$378:$K$384)/1000</f>
        <v>0</v>
      </c>
      <c r="AR11" s="95">
        <f t="shared" si="16"/>
        <v>-1</v>
      </c>
      <c r="AS11" s="104"/>
      <c r="AT11" t="s">
        <v>100</v>
      </c>
      <c r="AU11" s="55">
        <f>SUM([4]AC!$E$378:$H$384)/1000</f>
        <v>0</v>
      </c>
      <c r="AV11" s="55">
        <f>SUM([4]AC!$I$378:$I$384)/1000</f>
        <v>0</v>
      </c>
      <c r="AW11" s="15"/>
      <c r="AX11" s="60">
        <f t="shared" si="17"/>
        <v>0</v>
      </c>
      <c r="AY11" s="15"/>
      <c r="AZ11" s="55">
        <f>SUM([4]AC!$J$378:$J$384)/1000</f>
        <v>0</v>
      </c>
      <c r="BA11" s="55">
        <f>SUM([4]AC!$K$378:$K$384)/1000</f>
        <v>0</v>
      </c>
      <c r="BC11" s="95">
        <f t="shared" si="18"/>
        <v>0</v>
      </c>
      <c r="BD11" s="104"/>
      <c r="BE11" t="s">
        <v>100</v>
      </c>
      <c r="BF11" s="55">
        <f t="shared" si="2"/>
        <v>-1.315426930000001E-3</v>
      </c>
      <c r="BG11" s="55">
        <f t="shared" si="2"/>
        <v>0</v>
      </c>
      <c r="BH11" s="15"/>
      <c r="BI11" s="60">
        <f t="shared" si="19"/>
        <v>-1</v>
      </c>
      <c r="BJ11" s="15"/>
      <c r="BK11" s="55">
        <f t="shared" si="20"/>
        <v>0</v>
      </c>
      <c r="BL11" s="55">
        <f t="shared" si="21"/>
        <v>0</v>
      </c>
      <c r="BN11" s="95">
        <f t="shared" si="22"/>
        <v>-1</v>
      </c>
      <c r="BP11" t="s">
        <v>100</v>
      </c>
      <c r="BQ11" s="55">
        <f t="shared" ref="BQ11:BR11" si="45">CB11+DI11+DT11+EE11+EP11</f>
        <v>44.112050285931666</v>
      </c>
      <c r="BR11" s="55">
        <f t="shared" si="45"/>
        <v>70.264468520636541</v>
      </c>
      <c r="BS11" s="15"/>
      <c r="BT11" s="155">
        <f t="shared" si="23"/>
        <v>0.59286335740883656</v>
      </c>
      <c r="BU11" s="15"/>
      <c r="BV11" s="55">
        <f t="shared" ref="BV11" si="46">CG11+DN11+DY11+EJ11+EU11</f>
        <v>31.247490508352939</v>
      </c>
      <c r="BW11" s="55">
        <f t="shared" ref="BW11" si="47">CH11+DO11+DZ11+EK11+EV11</f>
        <v>-19.740597987779481</v>
      </c>
      <c r="BY11" s="159">
        <f t="shared" si="24"/>
        <v>-1.7648935877347598</v>
      </c>
      <c r="CA11" t="s">
        <v>100</v>
      </c>
      <c r="CB11" s="55">
        <f t="shared" si="25"/>
        <v>-37.564457043116043</v>
      </c>
      <c r="CC11" s="55">
        <f t="shared" si="26"/>
        <v>-34.940949065302952</v>
      </c>
      <c r="CD11" s="15"/>
      <c r="CE11" s="155">
        <f t="shared" si="27"/>
        <v>-6.9840167656406146E-2</v>
      </c>
      <c r="CF11" s="15"/>
      <c r="CG11" s="55">
        <f t="shared" si="3"/>
        <v>-36.46822672702622</v>
      </c>
      <c r="CH11" s="55">
        <f t="shared" si="4"/>
        <v>-38.293954170629121</v>
      </c>
      <c r="CJ11" s="159">
        <f t="shared" si="28"/>
        <v>6.4318350696415116E-3</v>
      </c>
      <c r="CL11" t="s">
        <v>100</v>
      </c>
      <c r="CM11" s="55">
        <f>SUM([5]AN01010300!$E$378:$H$384)/1000</f>
        <v>-29.222489041878639</v>
      </c>
      <c r="CN11" s="55">
        <f>SUM([5]AN01010300!$I$378:$I$384)/1000</f>
        <v>-28.668122852775987</v>
      </c>
      <c r="CO11" s="15"/>
      <c r="CP11" s="155">
        <f t="shared" si="29"/>
        <v>-1.8970532876518204E-2</v>
      </c>
      <c r="CQ11" s="15"/>
      <c r="CR11" s="55">
        <f>SUM([5]AN01010300!$J$378:$J$384)/1000</f>
        <v>-29.913643081943412</v>
      </c>
      <c r="CS11" s="55">
        <f>SUM([5]AN01010300!$K$378:$K$384)/1000</f>
        <v>-31.09844365464874</v>
      </c>
      <c r="CU11" s="159">
        <f t="shared" si="30"/>
        <v>2.0956292475525551E-2</v>
      </c>
      <c r="CW11" t="s">
        <v>100</v>
      </c>
      <c r="CX11" s="55">
        <f>SUM('[5]BC1010:BC1015'!$E$378:$H$384)/1000</f>
        <v>-8.3419680012374062</v>
      </c>
      <c r="CY11" s="55">
        <f>SUM('[5]BC1010:BC1015'!$I$378:$I$384)/1000</f>
        <v>-6.2728262125269634</v>
      </c>
      <c r="CZ11" s="15"/>
      <c r="DA11" s="155">
        <f t="shared" si="31"/>
        <v>-0.24804000547634761</v>
      </c>
      <c r="DB11" s="15"/>
      <c r="DC11" s="55">
        <f>SUM('[5]BC1010:BC1015'!$J$378:$J$384)/1000</f>
        <v>-6.5545836450828059</v>
      </c>
      <c r="DD11" s="55">
        <f>SUM('[5]BC1010:BC1015'!$K$378:$K$384)/1000</f>
        <v>-7.1955105159803816</v>
      </c>
      <c r="DF11" s="159">
        <f t="shared" si="32"/>
        <v>-4.8086036361391749E-2</v>
      </c>
      <c r="DH11" t="s">
        <v>100</v>
      </c>
      <c r="DI11" s="55">
        <f>SUM([5]AN02020100:AN02020150!$E$378:$H$384)/1000</f>
        <v>-2.272021314139538</v>
      </c>
      <c r="DJ11" s="55">
        <f>SUM([5]AN02020100:AN02020150!$I$378:$I$384)/1000</f>
        <v>-3.6977728195276751</v>
      </c>
      <c r="DK11" s="15"/>
      <c r="DL11" s="155">
        <f t="shared" si="33"/>
        <v>0.62752558548426252</v>
      </c>
      <c r="DM11" s="15"/>
      <c r="DN11" s="55">
        <f>SUM([5]AN02020100:AN02020150!$J$378:$J$384)/1000</f>
        <v>-4.0638291534326445</v>
      </c>
      <c r="DO11" s="55">
        <f>SUM([5]AN02020100:AN02020150!$K$378:$K$384)/1000</f>
        <v>-4.5804976348788653</v>
      </c>
      <c r="DQ11" s="159">
        <f t="shared" si="34"/>
        <v>0.26328135784158602</v>
      </c>
      <c r="DS11" t="s">
        <v>100</v>
      </c>
      <c r="DT11" s="55">
        <f>SUM([5]BC1020!$E$378:$H$384)/1000</f>
        <v>-5.0180443941548711</v>
      </c>
      <c r="DU11" s="55">
        <f>SUM([5]BC1020!$I$378:$I$384)/1000</f>
        <v>-4.9708743564470703</v>
      </c>
      <c r="DV11" s="15"/>
      <c r="DW11" s="155">
        <f t="shared" si="35"/>
        <v>-9.4000837782036196E-3</v>
      </c>
      <c r="DX11" s="15"/>
      <c r="DY11" s="55">
        <f>SUM([5]BC1020!$J$378:$J$384)/1000</f>
        <v>-5.1728891755509485</v>
      </c>
      <c r="DZ11" s="55">
        <f>SUM([5]BC1020!$K$378:$K$384)/1000</f>
        <v>-5.4059067129575649</v>
      </c>
      <c r="EB11" s="159">
        <f t="shared" si="36"/>
        <v>2.5127811405903477E-2</v>
      </c>
      <c r="ED11" t="s">
        <v>100</v>
      </c>
      <c r="EE11" s="55">
        <f>SUM([5]FC!$E$378:$H$384)/1000</f>
        <v>146.53179856187583</v>
      </c>
      <c r="EF11" s="55">
        <f>SUM([5]FC!$I$378:$I$384)/1000</f>
        <v>344.88069658778448</v>
      </c>
      <c r="EG11" s="15"/>
      <c r="EH11" s="155">
        <f t="shared" si="37"/>
        <v>1.353623581861326</v>
      </c>
      <c r="EI11" s="15"/>
      <c r="EJ11" s="55">
        <f>SUM([5]FC!$J$378:$J$384)/1000</f>
        <v>190.66334732191521</v>
      </c>
      <c r="EK11" s="55">
        <f>SUM([5]FC!$K$378:$K$384)/1000</f>
        <v>26.757227142872736</v>
      </c>
      <c r="EM11" s="159">
        <f t="shared" si="38"/>
        <v>-0.43266913909354043</v>
      </c>
      <c r="EO11" t="s">
        <v>100</v>
      </c>
      <c r="EP11" s="55">
        <f>SUM([5]AC!$E$378:$H$384)/1000</f>
        <v>-57.565225524533709</v>
      </c>
      <c r="EQ11" s="55">
        <f>SUM([5]AC!$I$378:$I$384)/1000</f>
        <v>-231.00663182587024</v>
      </c>
      <c r="ER11" s="15"/>
      <c r="ES11" s="155">
        <f t="shared" si="39"/>
        <v>3.012954517609205</v>
      </c>
      <c r="ET11" s="15"/>
      <c r="EU11" s="55">
        <f>SUM([5]AC!$J$378:$J$384)/1000</f>
        <v>-113.71091175755245</v>
      </c>
      <c r="EV11" s="55">
        <f>SUM([5]AC!$K$378:$K$384)/1000</f>
        <v>1.782533387813336</v>
      </c>
      <c r="EX11" s="159">
        <f t="shared" si="40"/>
        <v>-1.3140213340300544</v>
      </c>
      <c r="EZ11" t="s">
        <v>100</v>
      </c>
      <c r="FA11" s="55">
        <f>SUM([6]AC!$E$378:$H$384)/1000</f>
        <v>-2.8424146065224942</v>
      </c>
      <c r="FB11" s="55">
        <f>SUM([6]AC!$I$378:$I$384)/1000</f>
        <v>-6.8147108292697336</v>
      </c>
      <c r="FC11" s="15"/>
      <c r="FD11" s="155">
        <f t="shared" si="41"/>
        <v>1.3975076731001888</v>
      </c>
      <c r="FE11" s="15"/>
      <c r="FF11" s="55">
        <f>SUM([6]AC!$J$378:$J$384)/1000</f>
        <v>-5.9987037672541472</v>
      </c>
      <c r="FG11" s="55">
        <f>SUM([6]AC!$K$378:$K$384)/1000</f>
        <v>-5.9233701074009781</v>
      </c>
      <c r="FI11" s="159">
        <f t="shared" si="42"/>
        <v>0.27730265342699179</v>
      </c>
      <c r="FK11" t="s">
        <v>100</v>
      </c>
      <c r="FL11" s="55">
        <f t="shared" si="5"/>
        <v>-54.722810918011213</v>
      </c>
      <c r="FM11" s="55">
        <f t="shared" si="5"/>
        <v>-224.19192099660052</v>
      </c>
      <c r="FN11" s="15"/>
      <c r="FO11" s="155">
        <f t="shared" si="43"/>
        <v>3.0968641273288653</v>
      </c>
      <c r="FP11" s="15"/>
      <c r="FQ11" s="55">
        <f t="shared" si="6"/>
        <v>-107.71220799029831</v>
      </c>
      <c r="FR11" s="55">
        <f t="shared" si="6"/>
        <v>7.7059034952143142</v>
      </c>
      <c r="FT11" s="159">
        <f t="shared" si="44"/>
        <v>-1.5202575476352909</v>
      </c>
    </row>
    <row r="12" spans="2:176" x14ac:dyDescent="0.3">
      <c r="B12" s="6" t="s">
        <v>11</v>
      </c>
      <c r="C12" s="56">
        <f>C9+C10+C11</f>
        <v>7763.3898961364666</v>
      </c>
      <c r="D12" s="56">
        <f>D9+D10+D11</f>
        <v>7848.2758707371577</v>
      </c>
      <c r="E12" s="18"/>
      <c r="F12" s="61">
        <f t="shared" ref="F12" si="48">IFERROR((D12-C12)/C12,0)</f>
        <v>1.0934137758936396E-2</v>
      </c>
      <c r="G12" s="18"/>
      <c r="H12" s="56">
        <f>H9+H10+H11</f>
        <v>8106.0406399680951</v>
      </c>
      <c r="I12" s="56">
        <f>I9+I10+I11</f>
        <v>8584.8010069151842</v>
      </c>
      <c r="J12" s="7"/>
      <c r="K12" s="96">
        <f t="shared" si="12"/>
        <v>3.4093031637880244E-2</v>
      </c>
      <c r="M12" s="6" t="s">
        <v>11</v>
      </c>
      <c r="N12" s="243">
        <v>5451.9054320779114</v>
      </c>
      <c r="O12" s="243">
        <v>5480.0638812663128</v>
      </c>
      <c r="P12" s="241"/>
      <c r="Q12" s="248">
        <v>5.1648821754542475E-3</v>
      </c>
      <c r="R12" s="241"/>
      <c r="S12" s="243">
        <v>5493.8134640229073</v>
      </c>
      <c r="T12" s="243">
        <v>5765.0507808004522</v>
      </c>
      <c r="U12" s="238"/>
      <c r="V12" s="252">
        <v>1.8790627640328461E-2</v>
      </c>
      <c r="X12" s="6" t="s">
        <v>11</v>
      </c>
      <c r="Y12" s="56">
        <f>Y9+Y10+Y11</f>
        <v>2311.4844640585557</v>
      </c>
      <c r="Z12" s="56">
        <f>Z9+Z10+Z11</f>
        <v>2368.2119894708462</v>
      </c>
      <c r="AA12" s="18"/>
      <c r="AB12" s="61">
        <f t="shared" si="13"/>
        <v>2.4541599259848414E-2</v>
      </c>
      <c r="AC12" s="18"/>
      <c r="AD12" s="56">
        <f>AD9+AD10+AD11</f>
        <v>2612.2271759451869</v>
      </c>
      <c r="AE12" s="56">
        <f>AE9+AE10+AE11</f>
        <v>2819.7502261147329</v>
      </c>
      <c r="AF12" s="7"/>
      <c r="AG12" s="96">
        <f t="shared" si="14"/>
        <v>6.8496786713388547E-2</v>
      </c>
      <c r="AI12" s="6" t="s">
        <v>11</v>
      </c>
      <c r="AJ12" s="56">
        <f>AJ9+AJ10+AJ11</f>
        <v>-206.25340347618737</v>
      </c>
      <c r="AK12" s="56">
        <f>AK9+AK10+AK11</f>
        <v>-96.044213104702607</v>
      </c>
      <c r="AL12" s="18"/>
      <c r="AM12" s="61">
        <f t="shared" si="15"/>
        <v>-0.53433877218035231</v>
      </c>
      <c r="AN12" s="18"/>
      <c r="AO12" s="56">
        <f>AO9+AO10+AO11</f>
        <v>-78.620320706983236</v>
      </c>
      <c r="AP12" s="56">
        <f>AP9+AP10+AP11</f>
        <v>-125.72363700879707</v>
      </c>
      <c r="AQ12" s="7"/>
      <c r="AR12" s="96">
        <f t="shared" si="16"/>
        <v>-0.15211177493647499</v>
      </c>
      <c r="AS12" s="104"/>
      <c r="AT12" s="6" t="s">
        <v>11</v>
      </c>
      <c r="AU12" s="56">
        <f>AU9+AU10+AU11</f>
        <v>-95.382369451450856</v>
      </c>
      <c r="AV12" s="56">
        <f>AV9+AV10+AV11</f>
        <v>-135.44530729857942</v>
      </c>
      <c r="AW12" s="18"/>
      <c r="AX12" s="61">
        <f t="shared" si="17"/>
        <v>0.4200245609071433</v>
      </c>
      <c r="AY12" s="18"/>
      <c r="AZ12" s="56">
        <f>AZ9+AZ10+AZ11</f>
        <v>-130.4790175359702</v>
      </c>
      <c r="BA12" s="56">
        <f>BA9+BA10+BA11</f>
        <v>-137.94688370569207</v>
      </c>
      <c r="BB12" s="7"/>
      <c r="BC12" s="96">
        <f t="shared" si="18"/>
        <v>0.13087498021058996</v>
      </c>
      <c r="BD12" s="104"/>
      <c r="BE12" s="6" t="s">
        <v>11</v>
      </c>
      <c r="BF12" s="56">
        <f>BF9+BF10+BF11</f>
        <v>-110.87103402473652</v>
      </c>
      <c r="BG12" s="56">
        <f>BG9+BG10+BG11</f>
        <v>39.401094193876823</v>
      </c>
      <c r="BH12" s="18"/>
      <c r="BI12" s="61">
        <f t="shared" si="19"/>
        <v>-1.3553777101518329</v>
      </c>
      <c r="BJ12" s="18"/>
      <c r="BK12" s="56">
        <f>BK9+BK10+BK11</f>
        <v>51.858696828986965</v>
      </c>
      <c r="BL12" s="56">
        <f>BL9+BL10+BL11</f>
        <v>12.223246696895004</v>
      </c>
      <c r="BM12" s="7"/>
      <c r="BN12" s="96">
        <f t="shared" si="22"/>
        <v>-1.4795009732857087</v>
      </c>
      <c r="BP12" s="6" t="s">
        <v>11</v>
      </c>
      <c r="BQ12" s="56">
        <f>BQ9+BQ10+BQ11</f>
        <v>2517.7378675347431</v>
      </c>
      <c r="BR12" s="56">
        <f>BR9+BR10+BR11</f>
        <v>2464.2562025755487</v>
      </c>
      <c r="BS12" s="18"/>
      <c r="BT12" s="156">
        <f t="shared" si="23"/>
        <v>-2.12419512169316E-2</v>
      </c>
      <c r="BU12" s="18"/>
      <c r="BV12" s="56">
        <f>BV9+BV10+BV11</f>
        <v>2690.8474966521699</v>
      </c>
      <c r="BW12" s="56">
        <f>BW9+BW10+BW11</f>
        <v>2945.47386312353</v>
      </c>
      <c r="BX12" s="7"/>
      <c r="BY12" s="160">
        <f t="shared" si="24"/>
        <v>5.3694922166797721E-2</v>
      </c>
      <c r="CA12" s="6" t="s">
        <v>11</v>
      </c>
      <c r="CB12" s="56">
        <f>CB9+CB10+CB11</f>
        <v>1733.9834720663719</v>
      </c>
      <c r="CC12" s="56">
        <f>CC9+CC10+CC11</f>
        <v>1991.6958654886444</v>
      </c>
      <c r="CD12" s="18"/>
      <c r="CE12" s="156">
        <f t="shared" si="27"/>
        <v>0.14862448089840155</v>
      </c>
      <c r="CF12" s="18"/>
      <c r="CG12" s="56">
        <f>CG9+CG10+CG11</f>
        <v>2292.993561175193</v>
      </c>
      <c r="CH12" s="56">
        <f>CH9+CH10+CH11</f>
        <v>2573.0827238316933</v>
      </c>
      <c r="CI12" s="7"/>
      <c r="CJ12" s="160">
        <f t="shared" si="28"/>
        <v>0.14060761073994077</v>
      </c>
      <c r="CL12" s="6" t="s">
        <v>11</v>
      </c>
      <c r="CM12" s="56">
        <f>CM9+CM10+CM11</f>
        <v>924.16913741129724</v>
      </c>
      <c r="CN12" s="56">
        <f>CN9+CN10+CN11</f>
        <v>1094.3290335554289</v>
      </c>
      <c r="CO12" s="18"/>
      <c r="CP12" s="156">
        <f t="shared" si="29"/>
        <v>0.18412202837758554</v>
      </c>
      <c r="CQ12" s="18"/>
      <c r="CR12" s="56">
        <f>CR9+CR10+CR11</f>
        <v>1264.0696985202046</v>
      </c>
      <c r="CS12" s="56">
        <f>CS9+CS10+CS11</f>
        <v>1397.9560038735112</v>
      </c>
      <c r="CT12" s="7"/>
      <c r="CU12" s="160">
        <f t="shared" si="30"/>
        <v>0.1479263213545523</v>
      </c>
      <c r="CW12" s="6" t="s">
        <v>11</v>
      </c>
      <c r="CX12" s="56">
        <f>CX9+CX10+CX11</f>
        <v>809.81433465507496</v>
      </c>
      <c r="CY12" s="56">
        <f>CY9+CY10+CY11</f>
        <v>897.36683193321562</v>
      </c>
      <c r="CZ12" s="18"/>
      <c r="DA12" s="156">
        <f t="shared" si="31"/>
        <v>0.1081142843877072</v>
      </c>
      <c r="DB12" s="18"/>
      <c r="DC12" s="56">
        <f>DC9+DC10+DC11</f>
        <v>1028.9238626549882</v>
      </c>
      <c r="DD12" s="56">
        <f>DD9+DD10+DD11</f>
        <v>1175.1267199581821</v>
      </c>
      <c r="DE12" s="7"/>
      <c r="DF12" s="160">
        <f t="shared" si="32"/>
        <v>0.13213898918146283</v>
      </c>
      <c r="DH12" s="6" t="s">
        <v>11</v>
      </c>
      <c r="DI12" s="56">
        <f>DI9+DI10+DI11</f>
        <v>288.81574628171467</v>
      </c>
      <c r="DJ12" s="56">
        <f>DJ9+DJ10+DJ11</f>
        <v>308.70957815159187</v>
      </c>
      <c r="DK12" s="18"/>
      <c r="DL12" s="156">
        <f t="shared" si="33"/>
        <v>6.8880703791241699E-2</v>
      </c>
      <c r="DM12" s="18"/>
      <c r="DN12" s="56">
        <f>DN9+DN10+DN11</f>
        <v>324.31638451767697</v>
      </c>
      <c r="DO12" s="56">
        <f>DO9+DO10+DO11</f>
        <v>340.95439662038831</v>
      </c>
      <c r="DP12" s="7"/>
      <c r="DQ12" s="160">
        <f t="shared" si="34"/>
        <v>5.6878693223955334E-2</v>
      </c>
      <c r="DS12" s="6" t="s">
        <v>11</v>
      </c>
      <c r="DT12" s="56">
        <f>DT9+DT10+DT11</f>
        <v>8.5078537342120697</v>
      </c>
      <c r="DU12" s="56">
        <f>DU9+DU10+DU11</f>
        <v>14.837839159273756</v>
      </c>
      <c r="DV12" s="18"/>
      <c r="DW12" s="156">
        <f t="shared" si="35"/>
        <v>0.74401671947030945</v>
      </c>
      <c r="DX12" s="18"/>
      <c r="DY12" s="56">
        <f>DY9+DY10+DY11</f>
        <v>19.929916217737222</v>
      </c>
      <c r="DZ12" s="56">
        <f>DZ9+DZ10+DZ11</f>
        <v>25.854900608152221</v>
      </c>
      <c r="EA12" s="7"/>
      <c r="EB12" s="160">
        <f t="shared" si="36"/>
        <v>0.44846371134149599</v>
      </c>
      <c r="ED12" s="6" t="s">
        <v>11</v>
      </c>
      <c r="EE12" s="56">
        <f>EE9+EE10+EE11</f>
        <v>126.18823718685157</v>
      </c>
      <c r="EF12" s="56">
        <f>EF9+EF10+EF11</f>
        <v>328.95961027241003</v>
      </c>
      <c r="EG12" s="18"/>
      <c r="EH12" s="156">
        <f t="shared" si="37"/>
        <v>1.6068959960610865</v>
      </c>
      <c r="EI12" s="18"/>
      <c r="EJ12" s="56">
        <f>EJ9+EJ10+EJ11</f>
        <v>182.97613517804729</v>
      </c>
      <c r="EK12" s="56">
        <f>EK9+EK10+EK11</f>
        <v>26.014053274970252</v>
      </c>
      <c r="EL12" s="7"/>
      <c r="EM12" s="160">
        <f t="shared" si="38"/>
        <v>-0.40925999279288083</v>
      </c>
      <c r="EO12" s="6" t="s">
        <v>11</v>
      </c>
      <c r="EP12" s="56">
        <f>EP9+EP10+EP11</f>
        <v>360.24255826559289</v>
      </c>
      <c r="EQ12" s="56">
        <f>EQ9+EQ10+EQ11</f>
        <v>-179.94669049637116</v>
      </c>
      <c r="ER12" s="18"/>
      <c r="ES12" s="156">
        <f t="shared" si="39"/>
        <v>-1.4995153581040903</v>
      </c>
      <c r="ET12" s="18"/>
      <c r="EU12" s="56">
        <f>EU9+EU10+EU11</f>
        <v>-129.36850043648496</v>
      </c>
      <c r="EV12" s="56">
        <f>EV9+EV10+EV11</f>
        <v>-20.432211211673817</v>
      </c>
      <c r="EW12" s="7"/>
      <c r="EX12" s="160">
        <f t="shared" si="40"/>
        <v>-1.3842142342270423</v>
      </c>
      <c r="EZ12" s="6" t="s">
        <v>11</v>
      </c>
      <c r="FA12" s="56">
        <f>FA9+FA10+FA11</f>
        <v>-1.660035399938268</v>
      </c>
      <c r="FB12" s="56">
        <f>FB9+FB10+FB11</f>
        <v>-217.88446229061191</v>
      </c>
      <c r="FC12" s="18"/>
      <c r="FD12" s="156">
        <f t="shared" si="41"/>
        <v>130.25290117229693</v>
      </c>
      <c r="FE12" s="18"/>
      <c r="FF12" s="56">
        <f>FF9+FF10+FF11</f>
        <v>-320.93140104361333</v>
      </c>
      <c r="FG12" s="56">
        <f>FG9+FG10+FG11</f>
        <v>-354.94003068741569</v>
      </c>
      <c r="FH12" s="7"/>
      <c r="FI12" s="160">
        <f t="shared" si="42"/>
        <v>4.9796974520887121</v>
      </c>
      <c r="FK12" s="6" t="s">
        <v>11</v>
      </c>
      <c r="FL12" s="56">
        <f>FL9+FL10+FL11</f>
        <v>361.90259366553119</v>
      </c>
      <c r="FM12" s="56">
        <f>FM9+FM10+FM11</f>
        <v>37.937771794240746</v>
      </c>
      <c r="FN12" s="18"/>
      <c r="FO12" s="156">
        <f t="shared" si="43"/>
        <v>-0.8951713183097475</v>
      </c>
      <c r="FP12" s="18"/>
      <c r="FQ12" s="56">
        <f>FQ9+FQ10+FQ11</f>
        <v>191.56290060712834</v>
      </c>
      <c r="FR12" s="56">
        <f>FR9+FR10+FR11</f>
        <v>334.50781947574188</v>
      </c>
      <c r="FS12" s="7"/>
      <c r="FT12" s="160">
        <f t="shared" si="44"/>
        <v>-2.5897047766587744E-2</v>
      </c>
    </row>
    <row r="13" spans="2:176" x14ac:dyDescent="0.3">
      <c r="C13" s="55"/>
      <c r="D13" s="55"/>
      <c r="E13" s="15"/>
      <c r="F13" s="60"/>
      <c r="G13" s="15"/>
      <c r="H13" s="55"/>
      <c r="I13" s="55"/>
      <c r="N13" s="242"/>
      <c r="O13" s="242"/>
      <c r="P13" s="239"/>
      <c r="Q13" s="247"/>
      <c r="R13" s="239"/>
      <c r="S13" s="242"/>
      <c r="T13" s="242"/>
      <c r="U13" s="237"/>
      <c r="V13" s="237"/>
      <c r="Y13" s="55"/>
      <c r="Z13" s="55"/>
      <c r="AA13" s="15"/>
      <c r="AB13" s="60"/>
      <c r="AC13" s="15"/>
      <c r="AD13" s="55"/>
      <c r="AE13" s="55"/>
      <c r="AJ13" s="55"/>
      <c r="AK13" s="55"/>
      <c r="AL13" s="15"/>
      <c r="AM13" s="60"/>
      <c r="AN13" s="15"/>
      <c r="AO13" s="55"/>
      <c r="AP13" s="55"/>
      <c r="AS13" s="104"/>
      <c r="AU13" s="15"/>
      <c r="AV13" s="15"/>
      <c r="AW13" s="15"/>
      <c r="AX13" s="60"/>
      <c r="AY13" s="15"/>
      <c r="AZ13" s="15"/>
      <c r="BA13" s="15"/>
      <c r="BD13" s="104"/>
      <c r="BF13" s="15"/>
      <c r="BG13" s="15"/>
      <c r="BH13" s="15"/>
      <c r="BI13" s="60"/>
      <c r="BJ13" s="15"/>
      <c r="BK13" s="15"/>
      <c r="BL13" s="15"/>
      <c r="BQ13" s="55"/>
      <c r="BR13" s="55"/>
      <c r="BS13" s="15"/>
      <c r="BT13" s="155"/>
      <c r="BU13" s="15"/>
      <c r="BV13" s="55"/>
      <c r="BW13" s="55"/>
      <c r="BY13" s="161"/>
      <c r="CB13" s="55"/>
      <c r="CC13" s="55"/>
      <c r="CD13" s="15"/>
      <c r="CE13" s="155"/>
      <c r="CF13" s="15"/>
      <c r="CG13" s="55"/>
      <c r="CH13" s="55"/>
      <c r="CJ13" s="161"/>
      <c r="CM13" s="55"/>
      <c r="CN13" s="55"/>
      <c r="CO13" s="15"/>
      <c r="CP13" s="155"/>
      <c r="CQ13" s="15"/>
      <c r="CR13" s="55"/>
      <c r="CS13" s="55"/>
      <c r="CU13" s="161"/>
      <c r="CX13" s="55"/>
      <c r="CY13" s="55"/>
      <c r="CZ13" s="15"/>
      <c r="DA13" s="155"/>
      <c r="DB13" s="15"/>
      <c r="DC13" s="55"/>
      <c r="DD13" s="55"/>
      <c r="DF13" s="161"/>
      <c r="DI13" s="55"/>
      <c r="DJ13" s="55"/>
      <c r="DK13" s="15"/>
      <c r="DL13" s="155"/>
      <c r="DM13" s="15"/>
      <c r="DN13" s="55"/>
      <c r="DO13" s="55"/>
      <c r="DQ13" s="161"/>
      <c r="DT13" s="55"/>
      <c r="DU13" s="55"/>
      <c r="DV13" s="15"/>
      <c r="DW13" s="155"/>
      <c r="DX13" s="15"/>
      <c r="DY13" s="55"/>
      <c r="DZ13" s="55"/>
      <c r="EB13" s="161"/>
      <c r="EE13" s="55"/>
      <c r="EF13" s="55"/>
      <c r="EG13" s="15"/>
      <c r="EH13" s="155"/>
      <c r="EI13" s="15"/>
      <c r="EJ13" s="55"/>
      <c r="EK13" s="55"/>
      <c r="EM13" s="161"/>
      <c r="EP13" s="55"/>
      <c r="EQ13" s="55"/>
      <c r="ER13" s="15"/>
      <c r="ES13" s="155"/>
      <c r="ET13" s="15"/>
      <c r="EU13" s="55"/>
      <c r="EV13" s="55"/>
      <c r="EX13" s="161"/>
      <c r="FA13" s="55"/>
      <c r="FB13" s="55"/>
      <c r="FC13" s="15"/>
      <c r="FD13" s="155"/>
      <c r="FE13" s="15"/>
      <c r="FF13" s="55"/>
      <c r="FG13" s="55"/>
      <c r="FI13" s="161"/>
      <c r="FL13" s="15"/>
      <c r="FM13" s="15"/>
      <c r="FN13" s="15"/>
      <c r="FO13" s="155"/>
      <c r="FP13" s="15"/>
      <c r="FQ13" s="15"/>
      <c r="FR13" s="15"/>
      <c r="FT13" s="161"/>
    </row>
    <row r="14" spans="2:176" x14ac:dyDescent="0.3">
      <c r="B14" t="s">
        <v>12</v>
      </c>
      <c r="C14" s="55">
        <f t="shared" ref="C14:C15" si="49">N14+Y14</f>
        <v>-1475.3373770095618</v>
      </c>
      <c r="D14" s="55">
        <f t="shared" ref="D14:D15" si="50">O14+Z14</f>
        <v>-1620.8534416439545</v>
      </c>
      <c r="E14" s="15"/>
      <c r="F14" s="60">
        <f t="shared" ref="F14:F15" si="51">IFERROR((D14-C14)/C14,0)</f>
        <v>9.8632398868214677E-2</v>
      </c>
      <c r="G14" s="15"/>
      <c r="H14" s="55">
        <f t="shared" ref="H14:H15" si="52">S14+AD14</f>
        <v>-1673.8980573994331</v>
      </c>
      <c r="I14" s="55">
        <f t="shared" ref="I14:I15" si="53">T14+AE14</f>
        <v>-1689.3753004182813</v>
      </c>
      <c r="K14" s="63">
        <f t="shared" si="12"/>
        <v>4.6192490473272896E-2</v>
      </c>
      <c r="M14" t="s">
        <v>12</v>
      </c>
      <c r="N14" s="242">
        <v>-461.43847507480478</v>
      </c>
      <c r="O14" s="242">
        <v>-555.26384027856284</v>
      </c>
      <c r="P14" s="239"/>
      <c r="Q14" s="247">
        <v>0.20333234065180156</v>
      </c>
      <c r="R14" s="239"/>
      <c r="S14" s="242">
        <v>-589.07587454646853</v>
      </c>
      <c r="T14" s="242">
        <v>-624.74198752611767</v>
      </c>
      <c r="U14" s="237"/>
      <c r="V14" s="249">
        <v>0.10627295956576766</v>
      </c>
      <c r="X14" t="s">
        <v>12</v>
      </c>
      <c r="Y14" s="55">
        <f>AJ14+BQ14</f>
        <v>-1013.8989019347571</v>
      </c>
      <c r="Z14" s="55">
        <f>AK14+BR14</f>
        <v>-1065.5896013653917</v>
      </c>
      <c r="AA14" s="15"/>
      <c r="AB14" s="60">
        <f t="shared" ref="AB14:AB16" si="54">IFERROR((Z14-Y14)/Y14,0)</f>
        <v>5.0982104164425675E-2</v>
      </c>
      <c r="AC14" s="15"/>
      <c r="AD14" s="55">
        <f>AO14+BV14</f>
        <v>-1084.8221828529645</v>
      </c>
      <c r="AE14" s="55">
        <f>AP14+BW14</f>
        <v>-1064.6333128921635</v>
      </c>
      <c r="AG14" s="63">
        <f t="shared" si="14"/>
        <v>1.6408916365598047E-2</v>
      </c>
      <c r="AI14" t="s">
        <v>12</v>
      </c>
      <c r="AJ14" s="55">
        <f>SUM([3]AC!$E$386:$H$386)/1000</f>
        <v>-16.322973144380008</v>
      </c>
      <c r="AK14" s="55">
        <f>[3]AC!$I$386/1000</f>
        <v>-114.99999999999999</v>
      </c>
      <c r="AL14" s="15"/>
      <c r="AM14" s="60">
        <f t="shared" ref="AM14:AM16" si="55">IFERROR((AK14-AJ14)/AJ14,0)</f>
        <v>6.0452851317466285</v>
      </c>
      <c r="AN14" s="15"/>
      <c r="AO14" s="55">
        <f>[3]AC!$J$386/1000</f>
        <v>-115.00000000000003</v>
      </c>
      <c r="AP14" s="55">
        <f>[3]AC!$K$386/1000</f>
        <v>-90.000000000000014</v>
      </c>
      <c r="AR14" s="63">
        <f t="shared" si="16"/>
        <v>0.76663873220833678</v>
      </c>
      <c r="AS14" s="104"/>
      <c r="AT14" t="s">
        <v>12</v>
      </c>
      <c r="AU14" s="55">
        <f>SUM([4]AC!$E$386:$H$386)/1000</f>
        <v>-3.4248287810200004</v>
      </c>
      <c r="AV14" s="55">
        <f>[4]AC!$I$386/1000</f>
        <v>-4.6397671885642859</v>
      </c>
      <c r="AW14" s="15"/>
      <c r="AX14" s="60">
        <f t="shared" ref="AX14:AX16" si="56">IFERROR((AV14-AU14)/AU14,0)</f>
        <v>0.3547442763496183</v>
      </c>
      <c r="AY14" s="15"/>
      <c r="AZ14" s="55">
        <f>[4]AC!$J$386/1000</f>
        <v>-4.7325625323355718</v>
      </c>
      <c r="BA14" s="55">
        <f>[4]AC!$K$386/1000</f>
        <v>-4.8272137829822857</v>
      </c>
      <c r="BC14" s="63">
        <f t="shared" ref="BC14:BC16" si="57">IFERROR(((BA14/AU14)^(1/3))-1,0)</f>
        <v>0.12120722961296404</v>
      </c>
      <c r="BD14" s="104"/>
      <c r="BE14" t="s">
        <v>12</v>
      </c>
      <c r="BF14" s="55">
        <f t="shared" ref="BF14:BF15" si="58">AJ14-AU14</f>
        <v>-12.898144363360007</v>
      </c>
      <c r="BG14" s="55">
        <f t="shared" ref="BG14:BG15" si="59">AK14-AV14</f>
        <v>-110.36023281143569</v>
      </c>
      <c r="BH14" s="15"/>
      <c r="BI14" s="60">
        <f t="shared" ref="BI14:BI16" si="60">IFERROR((BG14-BF14)/BF14,0)</f>
        <v>7.5562876102502008</v>
      </c>
      <c r="BJ14" s="15"/>
      <c r="BK14" s="55">
        <f t="shared" ref="BK14:BK15" si="61">AO14-AZ14</f>
        <v>-110.26743746766445</v>
      </c>
      <c r="BL14" s="55">
        <f t="shared" ref="BL14:BL15" si="62">AP14-BA14</f>
        <v>-85.17278621701773</v>
      </c>
      <c r="BN14" s="63">
        <f t="shared" ref="BN14:BN16" si="63">IFERROR(((BL14/BF14)^(1/3))-1,0)</f>
        <v>0.87610816530099855</v>
      </c>
      <c r="BP14" t="s">
        <v>12</v>
      </c>
      <c r="BQ14" s="55">
        <f t="shared" ref="BQ14:BQ15" si="64">CB14+DI14+DT14+EE14+EP14</f>
        <v>-997.57592879037702</v>
      </c>
      <c r="BR14" s="55">
        <f t="shared" ref="BR14:BR15" si="65">CC14+DJ14+DU14+EF14+EQ14</f>
        <v>-950.58960136539179</v>
      </c>
      <c r="BS14" s="15"/>
      <c r="BT14" s="155">
        <f t="shared" ref="BT14:BT16" si="66">IFERROR((BR14-BQ14)/BQ14,0)</f>
        <v>-4.7100502396804106E-2</v>
      </c>
      <c r="BU14" s="15"/>
      <c r="BV14" s="55">
        <f t="shared" ref="BV14:BV15" si="67">CG14+DN14+DY14+EJ14+EU14</f>
        <v>-969.82218285296437</v>
      </c>
      <c r="BW14" s="55">
        <f t="shared" ref="BW14:BW15" si="68">CH14+DO14+DZ14+EK14+EV14</f>
        <v>-974.63331289216353</v>
      </c>
      <c r="BY14" s="162">
        <f t="shared" si="24"/>
        <v>-7.7256538821719456E-3</v>
      </c>
      <c r="CA14" t="s">
        <v>12</v>
      </c>
      <c r="CB14" s="55">
        <f t="shared" ref="CB14:CB15" si="69">CM14+CX14</f>
        <v>-805.26609431266684</v>
      </c>
      <c r="CC14" s="55">
        <f t="shared" ref="CC14:CC15" si="70">CN14+CY14</f>
        <v>-810.53147488008426</v>
      </c>
      <c r="CD14" s="15"/>
      <c r="CE14" s="155">
        <f t="shared" ref="CE14:CE16" si="71">IFERROR((CC14-CB14)/CB14,0)</f>
        <v>6.5386840506574144E-3</v>
      </c>
      <c r="CF14" s="15"/>
      <c r="CG14" s="55">
        <f t="shared" ref="CG14:CG15" si="72">CR14+DC14</f>
        <v>-825.80291571969497</v>
      </c>
      <c r="CH14" s="55">
        <f t="shared" ref="CH14:CH15" si="73">CS14+DD14</f>
        <v>-830.12787964893073</v>
      </c>
      <c r="CJ14" s="162">
        <f t="shared" si="28"/>
        <v>1.0187201821583836E-2</v>
      </c>
      <c r="CL14" t="s">
        <v>12</v>
      </c>
      <c r="CM14" s="55">
        <f>SUM([5]AN01010300!$E$386:$H$386)/1000</f>
        <v>-562.67473585754647</v>
      </c>
      <c r="CN14" s="55">
        <f>[5]AN01010300!$I$386/1000</f>
        <v>-561.53485631708804</v>
      </c>
      <c r="CO14" s="15"/>
      <c r="CP14" s="155">
        <f t="shared" ref="CP14:CP16" si="74">IFERROR((CN14-CM14)/CM14,0)</f>
        <v>-2.0258232115596695E-3</v>
      </c>
      <c r="CQ14" s="15"/>
      <c r="CR14" s="55">
        <f>[5]AN01010300!$J$386/1000</f>
        <v>-567.28944626579937</v>
      </c>
      <c r="CS14" s="55">
        <f>[5]AN01010300!$K$386/1000</f>
        <v>-565.07707185750201</v>
      </c>
      <c r="CU14" s="162">
        <f t="shared" si="30"/>
        <v>1.4211438180364855E-3</v>
      </c>
      <c r="CW14" t="s">
        <v>12</v>
      </c>
      <c r="CX14" s="66">
        <f>SUM('[5]BC1010:BC1015'!$E$386:$H$386)/1000</f>
        <v>-242.59135845512034</v>
      </c>
      <c r="CY14" s="66">
        <f>SUM('[5]BC1010:BC1015'!$I$386)/1000</f>
        <v>-248.99661856299622</v>
      </c>
      <c r="CZ14" s="15"/>
      <c r="DA14" s="155">
        <f t="shared" ref="DA14:DA16" si="75">IFERROR((CY14-CX14)/CX14,0)</f>
        <v>2.6403496598832291E-2</v>
      </c>
      <c r="DB14" s="15"/>
      <c r="DC14" s="66">
        <f>SUM('[5]BC1010:BC1015'!$J$386)/1000</f>
        <v>-258.5134694538956</v>
      </c>
      <c r="DD14" s="66">
        <f>SUM('[5]BC1010:BC1015'!$K$386)/1000</f>
        <v>-265.05080779142867</v>
      </c>
      <c r="DF14" s="162">
        <f t="shared" si="32"/>
        <v>2.9954252903747314E-2</v>
      </c>
      <c r="DH14" t="s">
        <v>12</v>
      </c>
      <c r="DI14" s="66">
        <f>SUM([5]AN02020100:AN02020150!$E$386:$H$386)/1000</f>
        <v>-78.376151810678977</v>
      </c>
      <c r="DJ14" s="66">
        <f>SUM([5]AN02020100:AN02020150!$I$386)/1000</f>
        <v>-70.770111354661935</v>
      </c>
      <c r="DK14" s="15"/>
      <c r="DL14" s="155">
        <f t="shared" ref="DL14:DL16" si="76">IFERROR((DJ14-DI14)/DI14,0)</f>
        <v>-9.7045341986038869E-2</v>
      </c>
      <c r="DM14" s="15"/>
      <c r="DN14" s="66">
        <f>SUM([5]AN02020100:AN02020150!$J$386)/1000</f>
        <v>-71.384826915571253</v>
      </c>
      <c r="DO14" s="66">
        <f>SUM([5]AN02020100:AN02020150!$K$386)/1000</f>
        <v>-71.353393079644107</v>
      </c>
      <c r="DQ14" s="162">
        <f t="shared" si="34"/>
        <v>-3.0807083746005381E-2</v>
      </c>
      <c r="DS14" t="s">
        <v>12</v>
      </c>
      <c r="DT14" s="55">
        <f>SUM([5]BC1020!$E$386:$H$386)/1000</f>
        <v>-11.974453837173249</v>
      </c>
      <c r="DU14" s="55">
        <f>[5]BC1020!$I$386/1000</f>
        <v>-10.193501994794151</v>
      </c>
      <c r="DV14" s="15"/>
      <c r="DW14" s="155">
        <f t="shared" ref="DW14:DW16" si="77">IFERROR((DU14-DT14)/DT14,0)</f>
        <v>-0.1487292753887737</v>
      </c>
      <c r="DX14" s="15"/>
      <c r="DY14" s="55">
        <f>[5]BC1020!$J$386/1000</f>
        <v>-10.285331967270558</v>
      </c>
      <c r="DZ14" s="55">
        <f>[5]BC1020!$K$386/1000</f>
        <v>-10.254697215248726</v>
      </c>
      <c r="EB14" s="162">
        <f t="shared" si="36"/>
        <v>-5.036719426516012E-2</v>
      </c>
      <c r="ED14" t="s">
        <v>12</v>
      </c>
      <c r="EE14" s="55">
        <f>SUM([5]FC!$E$386:$H$386)/1000</f>
        <v>-4.5059963246462162</v>
      </c>
      <c r="EF14" s="55">
        <f>[5]FC!$I$386/1000</f>
        <v>-4.7791746170570777</v>
      </c>
      <c r="EG14" s="15"/>
      <c r="EH14" s="155">
        <f t="shared" ref="EH14:EH16" si="78">IFERROR((EF14-EE14)/EE14,0)</f>
        <v>6.0625502714387977E-2</v>
      </c>
      <c r="EI14" s="15"/>
      <c r="EJ14" s="55">
        <f>[5]FC!$J$386/1000</f>
        <v>-5.9112882107023781</v>
      </c>
      <c r="EK14" s="55">
        <f>[5]FC!$K$386/1000</f>
        <v>-5.9361437312947745</v>
      </c>
      <c r="EM14" s="162">
        <f t="shared" si="38"/>
        <v>9.6237173438545431E-2</v>
      </c>
      <c r="EO14" t="s">
        <v>12</v>
      </c>
      <c r="EP14" s="55">
        <f>SUM([5]AC!$E$386:$H$386)/1000</f>
        <v>-97.453232505211929</v>
      </c>
      <c r="EQ14" s="55">
        <f>[5]AC!$I$386/1000</f>
        <v>-54.315338518794434</v>
      </c>
      <c r="ER14" s="15"/>
      <c r="ES14" s="155">
        <f t="shared" ref="ES14:ES16" si="79">IFERROR((EQ14-EP14)/EP14,0)</f>
        <v>-0.44265226383445438</v>
      </c>
      <c r="ET14" s="15"/>
      <c r="EU14" s="55">
        <f>[5]AC!$J$386/1000</f>
        <v>-56.43782003972521</v>
      </c>
      <c r="EV14" s="55">
        <f>[5]AC!$K$386/1000</f>
        <v>-56.961199217045198</v>
      </c>
      <c r="EX14" s="162">
        <f t="shared" si="40"/>
        <v>-0.16389473486196549</v>
      </c>
      <c r="EZ14" t="s">
        <v>12</v>
      </c>
      <c r="FA14" s="55">
        <f>SUM([6]AC!$E$386:$H$386)/1000</f>
        <v>-57.596244649357402</v>
      </c>
      <c r="FB14" s="55">
        <f>[6]AC!$I$386/1000</f>
        <v>-34.465428362899587</v>
      </c>
      <c r="FC14" s="15"/>
      <c r="FD14" s="155">
        <f t="shared" ref="FD14:FD16" si="80">IFERROR((FB14-FA14)/FA14,0)</f>
        <v>-0.40160285496523052</v>
      </c>
      <c r="FE14" s="15"/>
      <c r="FF14" s="55">
        <f>[6]AC!$J$386/1000</f>
        <v>-32.931144034059962</v>
      </c>
      <c r="FG14" s="55">
        <f>[6]AC!$K$386/1000</f>
        <v>-30.886484927864345</v>
      </c>
      <c r="FI14" s="162">
        <f t="shared" si="42"/>
        <v>-0.18755973468159481</v>
      </c>
      <c r="FK14" t="s">
        <v>12</v>
      </c>
      <c r="FL14" s="55">
        <f>EP14-FA14</f>
        <v>-39.856987855854527</v>
      </c>
      <c r="FM14" s="55">
        <f>EQ14-FB14</f>
        <v>-19.849910155894847</v>
      </c>
      <c r="FN14" s="15"/>
      <c r="FO14" s="155">
        <f t="shared" ref="FO14:FO16" si="81">IFERROR((FM14-FL14)/FL14,0)</f>
        <v>-0.50197164352501045</v>
      </c>
      <c r="FP14" s="15"/>
      <c r="FQ14" s="55">
        <f>EU14-FF14</f>
        <v>-23.506676005665248</v>
      </c>
      <c r="FR14" s="55">
        <f>EV14-FG14</f>
        <v>-26.074714289180854</v>
      </c>
      <c r="FT14" s="162">
        <f t="shared" si="44"/>
        <v>-0.13189612523495953</v>
      </c>
    </row>
    <row r="15" spans="2:176" x14ac:dyDescent="0.3">
      <c r="B15" t="s">
        <v>13</v>
      </c>
      <c r="C15" s="55">
        <f t="shared" si="49"/>
        <v>-1463.1215876373719</v>
      </c>
      <c r="D15" s="55">
        <f t="shared" si="50"/>
        <v>-1608.1722844955657</v>
      </c>
      <c r="E15" s="15"/>
      <c r="F15" s="60">
        <f t="shared" si="51"/>
        <v>9.9137828382683882E-2</v>
      </c>
      <c r="G15" s="15"/>
      <c r="H15" s="55">
        <f t="shared" si="52"/>
        <v>-1527.7631521029909</v>
      </c>
      <c r="I15" s="55">
        <f t="shared" si="53"/>
        <v>-1467.6420261630853</v>
      </c>
      <c r="K15" s="63">
        <f t="shared" si="12"/>
        <v>1.0288028718461462E-3</v>
      </c>
      <c r="M15" t="s">
        <v>13</v>
      </c>
      <c r="N15" s="242">
        <v>-304.42058596822022</v>
      </c>
      <c r="O15" s="242">
        <v>-332.77494397295129</v>
      </c>
      <c r="P15" s="239"/>
      <c r="Q15" s="247">
        <v>9.3142051857462438E-2</v>
      </c>
      <c r="R15" s="239"/>
      <c r="S15" s="242">
        <v>-303.48085933231681</v>
      </c>
      <c r="T15" s="242">
        <v>-309.75648595431022</v>
      </c>
      <c r="U15" s="237"/>
      <c r="V15" s="249">
        <v>5.8088757632712706E-3</v>
      </c>
      <c r="X15" t="s">
        <v>13</v>
      </c>
      <c r="Y15" s="55">
        <f>AJ15+BQ15</f>
        <v>-1158.7010016691518</v>
      </c>
      <c r="Z15" s="55">
        <f>AK15+BR15</f>
        <v>-1275.3973405226145</v>
      </c>
      <c r="AA15" s="15"/>
      <c r="AB15" s="60">
        <f t="shared" si="54"/>
        <v>0.10071307324785025</v>
      </c>
      <c r="AC15" s="15"/>
      <c r="AD15" s="55">
        <f>AO15+BV15</f>
        <v>-1224.2822927706741</v>
      </c>
      <c r="AE15" s="55">
        <f>AP15+BW15</f>
        <v>-1157.8855402087752</v>
      </c>
      <c r="AG15" s="63">
        <f t="shared" si="14"/>
        <v>-2.346457609893049E-4</v>
      </c>
      <c r="AI15" t="s">
        <v>13</v>
      </c>
      <c r="AJ15" s="55">
        <f>SUM([3]AC!$E$387:$H$388)/1000</f>
        <v>-188.29224296283996</v>
      </c>
      <c r="AK15" s="55">
        <f>SUM([3]AC!$I$387:$I$388)/1000</f>
        <v>-211.00231299999999</v>
      </c>
      <c r="AL15" s="15"/>
      <c r="AM15" s="60">
        <f t="shared" si="55"/>
        <v>0.12061075740460495</v>
      </c>
      <c r="AN15" s="15"/>
      <c r="AO15" s="55">
        <f>SUM([3]AC!$J$387:$J$388)/1000</f>
        <v>-196.99999999999997</v>
      </c>
      <c r="AP15" s="55">
        <f>SUM([3]AC!$K$387:$K$388)/1000</f>
        <v>-171.00000000000003</v>
      </c>
      <c r="AR15" s="63">
        <f t="shared" si="16"/>
        <v>-3.1600491126552388E-2</v>
      </c>
      <c r="AS15" s="104"/>
      <c r="AT15" t="s">
        <v>13</v>
      </c>
      <c r="AU15" s="55">
        <f>SUM([4]AC!$E$387:$H$388)/1000</f>
        <v>-5.1130582219999994</v>
      </c>
      <c r="AV15" s="55">
        <f>SUM([4]AC!$I$387:$I$388)/1000</f>
        <v>-2.315111447999997</v>
      </c>
      <c r="AW15" s="15"/>
      <c r="AX15" s="60">
        <f t="shared" si="56"/>
        <v>-0.54721590338268644</v>
      </c>
      <c r="AY15" s="15"/>
      <c r="AZ15" s="55">
        <f>SUM([4]AC!$J$387:$J$388)/1000</f>
        <v>-2.3151114479999979</v>
      </c>
      <c r="BA15" s="55">
        <f>SUM([4]AC!$K$387:$K$388)/1000</f>
        <v>-2.3151114479999935</v>
      </c>
      <c r="BC15" s="63">
        <f t="shared" si="57"/>
        <v>-0.23211346042278991</v>
      </c>
      <c r="BD15" s="104"/>
      <c r="BE15" t="s">
        <v>13</v>
      </c>
      <c r="BF15" s="55">
        <f t="shared" si="58"/>
        <v>-183.17918474083996</v>
      </c>
      <c r="BG15" s="55">
        <f t="shared" si="59"/>
        <v>-208.68720155199998</v>
      </c>
      <c r="BH15" s="15"/>
      <c r="BI15" s="60">
        <f t="shared" si="60"/>
        <v>0.13925172146195813</v>
      </c>
      <c r="BJ15" s="15"/>
      <c r="BK15" s="55">
        <f t="shared" si="61"/>
        <v>-194.68488855199996</v>
      </c>
      <c r="BL15" s="55">
        <f t="shared" si="62"/>
        <v>-168.68488855200005</v>
      </c>
      <c r="BN15" s="63">
        <f t="shared" si="63"/>
        <v>-2.7103400180623072E-2</v>
      </c>
      <c r="BP15" t="s">
        <v>13</v>
      </c>
      <c r="BQ15" s="55">
        <f t="shared" si="64"/>
        <v>-970.4087587063118</v>
      </c>
      <c r="BR15" s="55">
        <f t="shared" si="65"/>
        <v>-1064.3950275226146</v>
      </c>
      <c r="BS15" s="15"/>
      <c r="BT15" s="155">
        <f t="shared" si="66"/>
        <v>9.6852247027942498E-2</v>
      </c>
      <c r="BU15" s="15"/>
      <c r="BV15" s="55">
        <f t="shared" si="67"/>
        <v>-1027.2822927706741</v>
      </c>
      <c r="BW15" s="55">
        <f t="shared" si="68"/>
        <v>-986.88554020877507</v>
      </c>
      <c r="BY15" s="162">
        <f t="shared" si="24"/>
        <v>5.6280053439612399E-3</v>
      </c>
      <c r="CA15" t="s">
        <v>13</v>
      </c>
      <c r="CB15" s="55">
        <f t="shared" si="69"/>
        <v>-910.41641120875818</v>
      </c>
      <c r="CC15" s="55">
        <f t="shared" si="70"/>
        <v>-937.76419868847483</v>
      </c>
      <c r="CD15" s="15"/>
      <c r="CE15" s="155">
        <f t="shared" si="71"/>
        <v>3.0038768131834367E-2</v>
      </c>
      <c r="CF15" s="15"/>
      <c r="CG15" s="55">
        <f t="shared" si="72"/>
        <v>-916.809844520659</v>
      </c>
      <c r="CH15" s="55">
        <f t="shared" si="73"/>
        <v>-904.53307277477131</v>
      </c>
      <c r="CJ15" s="162">
        <f t="shared" si="28"/>
        <v>-2.1587401318492461E-3</v>
      </c>
      <c r="CL15" t="s">
        <v>13</v>
      </c>
      <c r="CM15" s="55">
        <f>SUM([5]AN01010300!$E$387:$H$388)/1000</f>
        <v>-753.91114955436387</v>
      </c>
      <c r="CN15" s="55">
        <f>SUM([5]AN01010300!$I$387:$I$388)/1000</f>
        <v>-766.65796063788514</v>
      </c>
      <c r="CO15" s="15"/>
      <c r="CP15" s="155">
        <f t="shared" si="74"/>
        <v>1.6907577359820045E-2</v>
      </c>
      <c r="CQ15" s="15"/>
      <c r="CR15" s="55">
        <f>SUM([5]AN01010300!$J$387:$J$388)/1000</f>
        <v>-751.1752224632047</v>
      </c>
      <c r="CS15" s="55">
        <f>SUM([5]AN01010300!$K$387:$K$388)/1000</f>
        <v>-738.72239773782098</v>
      </c>
      <c r="CU15" s="162">
        <f t="shared" si="30"/>
        <v>-6.7611458117944334E-3</v>
      </c>
      <c r="CW15" t="s">
        <v>13</v>
      </c>
      <c r="CX15" s="55">
        <f>SUM('[5]BC1010:BC1015'!$E$387:$H$388)/1000</f>
        <v>-156.50526165439427</v>
      </c>
      <c r="CY15" s="55">
        <f>SUM('[5]BC1010:BC1015'!$I$387:$I$388)/1000</f>
        <v>-171.1062380505897</v>
      </c>
      <c r="CZ15" s="15"/>
      <c r="DA15" s="155">
        <f t="shared" si="75"/>
        <v>9.3293837164646287E-2</v>
      </c>
      <c r="DB15" s="15"/>
      <c r="DC15" s="55">
        <f>SUM('[5]BC1010:BC1015'!$J$387:$J$388)/1000</f>
        <v>-165.63462205745427</v>
      </c>
      <c r="DD15" s="55">
        <f>SUM('[5]BC1010:BC1015'!$K$387:$K$388)/1000</f>
        <v>-165.8106750369503</v>
      </c>
      <c r="DF15" s="162">
        <f t="shared" si="32"/>
        <v>1.943885302083137E-2</v>
      </c>
      <c r="DH15" t="s">
        <v>13</v>
      </c>
      <c r="DI15" s="55">
        <f>SUM([5]AN02020100:AN02020150!$E$387:$H$388)/1000</f>
        <v>-39.463191988329484</v>
      </c>
      <c r="DJ15" s="55">
        <f>SUM([5]AN02020100:AN02020150!$I$387:$I$388)/1000</f>
        <v>-48.703262301224783</v>
      </c>
      <c r="DK15" s="15"/>
      <c r="DL15" s="155">
        <f t="shared" si="76"/>
        <v>0.23414401743345747</v>
      </c>
      <c r="DM15" s="15"/>
      <c r="DN15" s="55">
        <f>SUM([5]AN02020100:AN02020150!$J$387:$J$388)/1000</f>
        <v>-47.430385618360589</v>
      </c>
      <c r="DO15" s="55">
        <f>SUM([5]AN02020100:AN02020150!$K$387:$K$388)/1000</f>
        <v>-48.440619333583975</v>
      </c>
      <c r="DQ15" s="162">
        <f t="shared" si="34"/>
        <v>7.0711561684098534E-2</v>
      </c>
      <c r="DS15" t="s">
        <v>13</v>
      </c>
      <c r="DT15" s="55">
        <f>SUM([5]BC1020!$E$387:$H$388)/1000</f>
        <v>-13.707049512780968</v>
      </c>
      <c r="DU15" s="55">
        <f>SUM([5]BC1020!$I$387:$I$388)/1000</f>
        <v>-16.263655604406601</v>
      </c>
      <c r="DV15" s="15"/>
      <c r="DW15" s="155">
        <f t="shared" si="77"/>
        <v>0.18651760827461505</v>
      </c>
      <c r="DX15" s="15"/>
      <c r="DY15" s="55">
        <f>SUM([5]BC1020!$J$387:$J$388)/1000</f>
        <v>-14.650180561982641</v>
      </c>
      <c r="DZ15" s="55">
        <f>SUM([5]BC1020!$K$387:$K$388)/1000</f>
        <v>-13.551450575140681</v>
      </c>
      <c r="EB15" s="162">
        <f t="shared" si="36"/>
        <v>-3.7983241670382917E-3</v>
      </c>
      <c r="ED15" t="s">
        <v>13</v>
      </c>
      <c r="EE15" s="55">
        <f>SUM([5]FC!$E$387:$H$388)/1000</f>
        <v>-91.641443100448953</v>
      </c>
      <c r="EF15" s="55">
        <f>SUM([5]FC!$I$387:$I$388)/1000</f>
        <v>-293.87762398160561</v>
      </c>
      <c r="EG15" s="15"/>
      <c r="EH15" s="155">
        <f t="shared" si="78"/>
        <v>2.2068201245967272</v>
      </c>
      <c r="EI15" s="15"/>
      <c r="EJ15" s="55">
        <f>SUM([5]FC!$J$387:$J$388)/1000</f>
        <v>-172.20909364781164</v>
      </c>
      <c r="EK15" s="55">
        <f>SUM([5]FC!$K$387:$K$388)/1000</f>
        <v>-29.739351719518282</v>
      </c>
      <c r="EM15" s="162">
        <f t="shared" si="38"/>
        <v>-0.31280520838208281</v>
      </c>
      <c r="EO15" t="s">
        <v>13</v>
      </c>
      <c r="EP15" s="55">
        <f>SUM([5]AC!$E$387:$H$388)/1000</f>
        <v>84.819337104005896</v>
      </c>
      <c r="EQ15" s="55">
        <f>SUM([5]AC!$I$387:$I$388)/1000</f>
        <v>232.21371305309722</v>
      </c>
      <c r="ER15" s="15"/>
      <c r="ES15" s="155">
        <f t="shared" si="79"/>
        <v>1.7377449645516048</v>
      </c>
      <c r="ET15" s="15"/>
      <c r="EU15" s="55">
        <f>SUM([5]AC!$J$387:$J$388)/1000</f>
        <v>123.81721157813978</v>
      </c>
      <c r="EV15" s="55">
        <f>SUM([5]AC!$K$387:$K$388)/1000</f>
        <v>9.3789541942391885</v>
      </c>
      <c r="EX15" s="162">
        <f t="shared" si="40"/>
        <v>-0.52002364098547127</v>
      </c>
      <c r="EZ15" t="s">
        <v>13</v>
      </c>
      <c r="FA15" s="55">
        <f>SUM([6]AC!$E$387:$H$388)/1000</f>
        <v>-42.565670136447437</v>
      </c>
      <c r="FB15" s="55">
        <f>SUM([6]AC!$I$387:$I$388)/1000</f>
        <v>-45.279517718181367</v>
      </c>
      <c r="FC15" s="15"/>
      <c r="FD15" s="155">
        <f t="shared" si="80"/>
        <v>6.3756721626477122E-2</v>
      </c>
      <c r="FE15" s="15"/>
      <c r="FF15" s="55">
        <f>SUM([6]AC!$J$387:$J$388)/1000</f>
        <v>-38.094313685437278</v>
      </c>
      <c r="FG15" s="55">
        <f>SUM([6]AC!$K$387:$K$388)/1000</f>
        <v>-33.888848245291932</v>
      </c>
      <c r="FI15" s="162">
        <f t="shared" si="42"/>
        <v>-7.3172073188124243E-2</v>
      </c>
      <c r="FK15" t="s">
        <v>13</v>
      </c>
      <c r="FL15" s="55">
        <f>EP15-FA15</f>
        <v>127.38500724045333</v>
      </c>
      <c r="FM15" s="55">
        <f>EQ15-FB15</f>
        <v>277.4932307712786</v>
      </c>
      <c r="FN15" s="15"/>
      <c r="FO15" s="155">
        <f t="shared" si="81"/>
        <v>1.1783821878463245</v>
      </c>
      <c r="FP15" s="15"/>
      <c r="FQ15" s="55">
        <f>EU15-FF15</f>
        <v>161.91152526357706</v>
      </c>
      <c r="FR15" s="55">
        <f>EV15-FG15</f>
        <v>43.267802439531124</v>
      </c>
      <c r="FT15" s="162">
        <f t="shared" si="44"/>
        <v>-0.30227839044171634</v>
      </c>
    </row>
    <row r="16" spans="2:176" x14ac:dyDescent="0.3">
      <c r="B16" s="6" t="s">
        <v>14</v>
      </c>
      <c r="C16" s="56">
        <f>C14+C15</f>
        <v>-2938.458964646934</v>
      </c>
      <c r="D16" s="56">
        <f>D14+D15</f>
        <v>-3229.02572613952</v>
      </c>
      <c r="E16" s="18"/>
      <c r="F16" s="61">
        <f t="shared" ref="F16" si="82">IFERROR((D16-C16)/C16,0)</f>
        <v>9.888406303727254E-2</v>
      </c>
      <c r="G16" s="18"/>
      <c r="H16" s="56">
        <f>H14+H15</f>
        <v>-3201.6612095024238</v>
      </c>
      <c r="I16" s="56">
        <f>I14+I15</f>
        <v>-3157.0173265813664</v>
      </c>
      <c r="J16" s="7"/>
      <c r="K16" s="64">
        <f t="shared" si="12"/>
        <v>2.4202374604487042E-2</v>
      </c>
      <c r="M16" s="6" t="s">
        <v>14</v>
      </c>
      <c r="N16" s="243">
        <v>-765.85906104302501</v>
      </c>
      <c r="O16" s="243">
        <v>-888.03878425151413</v>
      </c>
      <c r="P16" s="241"/>
      <c r="Q16" s="248">
        <v>0.15953290810725973</v>
      </c>
      <c r="R16" s="241"/>
      <c r="S16" s="243">
        <v>-892.55673387878528</v>
      </c>
      <c r="T16" s="243">
        <v>-934.49847348042795</v>
      </c>
      <c r="U16" s="238"/>
      <c r="V16" s="250">
        <v>6.8587067296742354E-2</v>
      </c>
      <c r="X16" s="6" t="s">
        <v>14</v>
      </c>
      <c r="Y16" s="56">
        <f>Y14+Y15</f>
        <v>-2172.5999036039088</v>
      </c>
      <c r="Z16" s="56">
        <f>Z14+Z15</f>
        <v>-2340.9869418880062</v>
      </c>
      <c r="AA16" s="18"/>
      <c r="AB16" s="61">
        <f t="shared" si="54"/>
        <v>7.7504853979224117E-2</v>
      </c>
      <c r="AC16" s="18"/>
      <c r="AD16" s="56">
        <f>AD14+AD15</f>
        <v>-2309.1044756236388</v>
      </c>
      <c r="AE16" s="56">
        <f>AE14+AE15</f>
        <v>-2222.5188531009389</v>
      </c>
      <c r="AF16" s="7"/>
      <c r="AG16" s="64">
        <f t="shared" si="14"/>
        <v>7.6009444801956594E-3</v>
      </c>
      <c r="AI16" s="6" t="s">
        <v>14</v>
      </c>
      <c r="AJ16" s="56">
        <f>AJ14+AJ15</f>
        <v>-204.61521610721996</v>
      </c>
      <c r="AK16" s="56">
        <f>AK14+AK15</f>
        <v>-326.00231299999996</v>
      </c>
      <c r="AL16" s="18"/>
      <c r="AM16" s="61">
        <f t="shared" si="55"/>
        <v>0.59324569893752288</v>
      </c>
      <c r="AN16" s="18"/>
      <c r="AO16" s="56">
        <f>AO14+AO15</f>
        <v>-312</v>
      </c>
      <c r="AP16" s="56">
        <f>AP14+AP15</f>
        <v>-261.00000000000006</v>
      </c>
      <c r="AQ16" s="7"/>
      <c r="AR16" s="64">
        <f t="shared" si="16"/>
        <v>8.4511579879471332E-2</v>
      </c>
      <c r="AS16" s="104"/>
      <c r="AT16" s="6" t="s">
        <v>14</v>
      </c>
      <c r="AU16" s="56">
        <f>AU14+AU15</f>
        <v>-8.5378870030199998</v>
      </c>
      <c r="AV16" s="56">
        <f>AV14+AV15</f>
        <v>-6.954878636564283</v>
      </c>
      <c r="AW16" s="18"/>
      <c r="AX16" s="61">
        <f t="shared" si="56"/>
        <v>-0.18540985209757158</v>
      </c>
      <c r="AY16" s="18"/>
      <c r="AZ16" s="56">
        <f>AZ14+AZ15</f>
        <v>-7.0476739803355697</v>
      </c>
      <c r="BA16" s="56">
        <f>BA14+BA15</f>
        <v>-7.1423252309822791</v>
      </c>
      <c r="BB16" s="7"/>
      <c r="BC16" s="64">
        <f t="shared" si="57"/>
        <v>-5.775666708931626E-2</v>
      </c>
      <c r="BD16" s="104"/>
      <c r="BE16" s="6" t="s">
        <v>14</v>
      </c>
      <c r="BF16" s="56">
        <f>BF14+BF15</f>
        <v>-196.07732910419998</v>
      </c>
      <c r="BG16" s="56">
        <f>BG14+BG15</f>
        <v>-319.04743436343568</v>
      </c>
      <c r="BH16" s="18"/>
      <c r="BI16" s="61">
        <f t="shared" si="60"/>
        <v>0.62715106239480944</v>
      </c>
      <c r="BJ16" s="18"/>
      <c r="BK16" s="56">
        <f>BK14+BK15</f>
        <v>-304.95232601966438</v>
      </c>
      <c r="BL16" s="56">
        <f>BL14+BL15</f>
        <v>-253.85767476901776</v>
      </c>
      <c r="BM16" s="7"/>
      <c r="BN16" s="64">
        <f t="shared" si="63"/>
        <v>8.9902474079437411E-2</v>
      </c>
      <c r="BP16" s="6" t="s">
        <v>14</v>
      </c>
      <c r="BQ16" s="56">
        <f>BQ14+BQ15</f>
        <v>-1967.9846874966888</v>
      </c>
      <c r="BR16" s="56">
        <f>BR14+BR15</f>
        <v>-2014.9846288880062</v>
      </c>
      <c r="BS16" s="18"/>
      <c r="BT16" s="156">
        <f t="shared" si="66"/>
        <v>2.3882269862120806E-2</v>
      </c>
      <c r="BU16" s="18"/>
      <c r="BV16" s="56">
        <f>BV14+BV15</f>
        <v>-1997.1044756236383</v>
      </c>
      <c r="BW16" s="56">
        <f>BW14+BW15</f>
        <v>-1961.5188531009385</v>
      </c>
      <c r="BX16" s="7"/>
      <c r="BY16" s="163">
        <f t="shared" si="24"/>
        <v>-1.0963717653920124E-3</v>
      </c>
      <c r="CA16" s="6" t="s">
        <v>14</v>
      </c>
      <c r="CB16" s="56">
        <f>CB14+CB15</f>
        <v>-1715.6825055214249</v>
      </c>
      <c r="CC16" s="56">
        <f>CC14+CC15</f>
        <v>-1748.2956735685591</v>
      </c>
      <c r="CD16" s="18"/>
      <c r="CE16" s="156">
        <f t="shared" si="71"/>
        <v>1.9008859705789506E-2</v>
      </c>
      <c r="CF16" s="18"/>
      <c r="CG16" s="56">
        <f>CG14+CG15</f>
        <v>-1742.612760240354</v>
      </c>
      <c r="CH16" s="56">
        <f>CH14+CH15</f>
        <v>-1734.6609524237019</v>
      </c>
      <c r="CI16" s="7"/>
      <c r="CJ16" s="163">
        <f t="shared" si="28"/>
        <v>3.673736346450962E-3</v>
      </c>
      <c r="CL16" s="6" t="s">
        <v>14</v>
      </c>
      <c r="CM16" s="56">
        <f>CM14+CM15</f>
        <v>-1316.5858854119103</v>
      </c>
      <c r="CN16" s="56">
        <f>CN14+CN15</f>
        <v>-1328.1928169549733</v>
      </c>
      <c r="CO16" s="18"/>
      <c r="CP16" s="156">
        <f t="shared" si="74"/>
        <v>8.8159319279285629E-3</v>
      </c>
      <c r="CQ16" s="18"/>
      <c r="CR16" s="56">
        <f>CR14+CR15</f>
        <v>-1318.4646687290042</v>
      </c>
      <c r="CS16" s="56">
        <f>CS14+CS15</f>
        <v>-1303.799469595323</v>
      </c>
      <c r="CT16" s="7"/>
      <c r="CU16" s="163">
        <f t="shared" si="30"/>
        <v>-3.2478027137864407E-3</v>
      </c>
      <c r="CW16" s="6" t="s">
        <v>14</v>
      </c>
      <c r="CX16" s="56">
        <f>CX14+CX15</f>
        <v>-399.09662010951462</v>
      </c>
      <c r="CY16" s="56">
        <f>CY14+CY15</f>
        <v>-420.10285661358591</v>
      </c>
      <c r="CZ16" s="18"/>
      <c r="DA16" s="156">
        <f t="shared" si="75"/>
        <v>5.2634463549972067E-2</v>
      </c>
      <c r="DB16" s="18"/>
      <c r="DC16" s="56">
        <f>DC14+DC15</f>
        <v>-424.14809151134989</v>
      </c>
      <c r="DD16" s="56">
        <f>DD14+DD15</f>
        <v>-430.86148282837894</v>
      </c>
      <c r="DE16" s="7"/>
      <c r="DF16" s="163">
        <f t="shared" si="32"/>
        <v>2.5856325400769764E-2</v>
      </c>
      <c r="DH16" s="6" t="s">
        <v>14</v>
      </c>
      <c r="DI16" s="56">
        <f>DI14+DI15</f>
        <v>-117.83934379900846</v>
      </c>
      <c r="DJ16" s="56">
        <f>DJ14+DJ15</f>
        <v>-119.47337365588672</v>
      </c>
      <c r="DK16" s="18"/>
      <c r="DL16" s="156">
        <f t="shared" si="76"/>
        <v>1.3866589919792191E-2</v>
      </c>
      <c r="DM16" s="18"/>
      <c r="DN16" s="56">
        <f>DN14+DN15</f>
        <v>-118.81521253393184</v>
      </c>
      <c r="DO16" s="56">
        <f>DO14+DO15</f>
        <v>-119.79401241322807</v>
      </c>
      <c r="DP16" s="7"/>
      <c r="DQ16" s="163">
        <f t="shared" si="34"/>
        <v>5.4988974100291799E-3</v>
      </c>
      <c r="DS16" s="6" t="s">
        <v>14</v>
      </c>
      <c r="DT16" s="56">
        <f>DT14+DT15</f>
        <v>-25.681503349954216</v>
      </c>
      <c r="DU16" s="56">
        <f>DU14+DU15</f>
        <v>-26.457157599200752</v>
      </c>
      <c r="DV16" s="18"/>
      <c r="DW16" s="156">
        <f t="shared" si="77"/>
        <v>3.02028365970997E-2</v>
      </c>
      <c r="DX16" s="18"/>
      <c r="DY16" s="56">
        <f>DY14+DY15</f>
        <v>-24.935512529253199</v>
      </c>
      <c r="DZ16" s="56">
        <f>DZ14+DZ15</f>
        <v>-23.806147790389407</v>
      </c>
      <c r="EA16" s="7"/>
      <c r="EB16" s="163">
        <f t="shared" si="36"/>
        <v>-2.495896365452277E-2</v>
      </c>
      <c r="ED16" s="6" t="s">
        <v>14</v>
      </c>
      <c r="EE16" s="56">
        <f>EE14+EE15</f>
        <v>-96.147439425095172</v>
      </c>
      <c r="EF16" s="56">
        <f>EF14+EF15</f>
        <v>-298.6567985986627</v>
      </c>
      <c r="EG16" s="18"/>
      <c r="EH16" s="156">
        <f t="shared" si="78"/>
        <v>2.1062376739771098</v>
      </c>
      <c r="EI16" s="18"/>
      <c r="EJ16" s="56">
        <f>EJ14+EJ15</f>
        <v>-178.12038185851401</v>
      </c>
      <c r="EK16" s="56">
        <f>EK14+EK15</f>
        <v>-35.67549545081306</v>
      </c>
      <c r="EL16" s="7"/>
      <c r="EM16" s="163">
        <f t="shared" si="38"/>
        <v>-0.28141618665680779</v>
      </c>
      <c r="EO16" s="6" t="s">
        <v>14</v>
      </c>
      <c r="EP16" s="56">
        <f>EP14+EP15</f>
        <v>-12.633895401206033</v>
      </c>
      <c r="EQ16" s="56">
        <f>EQ14+EQ15</f>
        <v>177.89837453430277</v>
      </c>
      <c r="ER16" s="18"/>
      <c r="ES16" s="156">
        <f t="shared" si="79"/>
        <v>-15.081039052873635</v>
      </c>
      <c r="ET16" s="18"/>
      <c r="EU16" s="56">
        <f>EU14+EU15</f>
        <v>67.379391538414566</v>
      </c>
      <c r="EV16" s="56">
        <f>EV14+EV15</f>
        <v>-47.582245022806006</v>
      </c>
      <c r="EW16" s="7"/>
      <c r="EX16" s="163">
        <f t="shared" si="40"/>
        <v>0.55585534922752555</v>
      </c>
      <c r="EZ16" s="6" t="s">
        <v>14</v>
      </c>
      <c r="FA16" s="56">
        <f>FA14+FA15</f>
        <v>-100.16191478580484</v>
      </c>
      <c r="FB16" s="56">
        <f>FB14+FB15</f>
        <v>-79.744946081080954</v>
      </c>
      <c r="FC16" s="18"/>
      <c r="FD16" s="156">
        <f t="shared" si="80"/>
        <v>-0.20383964052988954</v>
      </c>
      <c r="FE16" s="18"/>
      <c r="FF16" s="56">
        <f>FF14+FF15</f>
        <v>-71.02545771949724</v>
      </c>
      <c r="FG16" s="56">
        <f>FG14+FG15</f>
        <v>-64.77533317315627</v>
      </c>
      <c r="FH16" s="7"/>
      <c r="FI16" s="163">
        <f t="shared" si="42"/>
        <v>-0.13522655370516956</v>
      </c>
      <c r="FK16" s="6" t="s">
        <v>14</v>
      </c>
      <c r="FL16" s="56">
        <f>FL14+FL15</f>
        <v>87.528019384598807</v>
      </c>
      <c r="FM16" s="56">
        <f>FM14+FM15</f>
        <v>257.64332061538374</v>
      </c>
      <c r="FN16" s="18"/>
      <c r="FO16" s="156">
        <f t="shared" si="81"/>
        <v>1.9435525038364798</v>
      </c>
      <c r="FP16" s="18"/>
      <c r="FQ16" s="56">
        <f>FQ14+FQ15</f>
        <v>138.40484925791182</v>
      </c>
      <c r="FR16" s="56">
        <f>FR14+FR15</f>
        <v>17.19308815035027</v>
      </c>
      <c r="FS16" s="7"/>
      <c r="FT16" s="163">
        <f t="shared" si="44"/>
        <v>-0.41869740342123762</v>
      </c>
    </row>
    <row r="17" spans="2:176" ht="15" thickBot="1" x14ac:dyDescent="0.35">
      <c r="C17" s="55"/>
      <c r="D17" s="55"/>
      <c r="E17" s="15"/>
      <c r="F17" s="60"/>
      <c r="G17" s="15"/>
      <c r="H17" s="55"/>
      <c r="I17" s="55"/>
      <c r="N17" s="242"/>
      <c r="O17" s="242"/>
      <c r="P17" s="239"/>
      <c r="Q17" s="247"/>
      <c r="R17" s="239"/>
      <c r="S17" s="242"/>
      <c r="T17" s="242"/>
      <c r="U17" s="237"/>
      <c r="V17" s="237"/>
      <c r="Y17" s="55"/>
      <c r="Z17" s="55"/>
      <c r="AA17" s="15"/>
      <c r="AB17" s="60"/>
      <c r="AC17" s="15"/>
      <c r="AD17" s="55"/>
      <c r="AE17" s="55"/>
      <c r="AJ17" s="55"/>
      <c r="AK17" s="55"/>
      <c r="AL17" s="15"/>
      <c r="AM17" s="60"/>
      <c r="AN17" s="15"/>
      <c r="AO17" s="55"/>
      <c r="AP17" s="55"/>
      <c r="AS17" s="104"/>
      <c r="AU17" s="15"/>
      <c r="AV17" s="15"/>
      <c r="AW17" s="15"/>
      <c r="AX17" s="60"/>
      <c r="AY17" s="15"/>
      <c r="AZ17" s="15"/>
      <c r="BA17" s="15"/>
      <c r="BD17" s="104"/>
      <c r="BF17" s="15"/>
      <c r="BG17" s="15"/>
      <c r="BH17" s="15"/>
      <c r="BI17" s="60"/>
      <c r="BJ17" s="15"/>
      <c r="BK17" s="15"/>
      <c r="BL17" s="15"/>
      <c r="BQ17" s="55"/>
      <c r="BR17" s="55"/>
      <c r="BS17" s="15"/>
      <c r="BT17" s="155"/>
      <c r="BU17" s="15"/>
      <c r="BV17" s="55"/>
      <c r="BW17" s="55"/>
      <c r="BY17" s="161"/>
      <c r="CB17" s="55"/>
      <c r="CC17" s="55"/>
      <c r="CD17" s="15"/>
      <c r="CE17" s="155"/>
      <c r="CF17" s="15"/>
      <c r="CG17" s="55"/>
      <c r="CH17" s="55"/>
      <c r="CJ17" s="161"/>
      <c r="CM17" s="55"/>
      <c r="CN17" s="55"/>
      <c r="CO17" s="15"/>
      <c r="CP17" s="155"/>
      <c r="CQ17" s="15"/>
      <c r="CR17" s="55"/>
      <c r="CS17" s="55"/>
      <c r="CU17" s="161"/>
      <c r="CX17" s="55"/>
      <c r="CY17" s="55"/>
      <c r="CZ17" s="15"/>
      <c r="DA17" s="155"/>
      <c r="DB17" s="15"/>
      <c r="DC17" s="55"/>
      <c r="DD17" s="55"/>
      <c r="DF17" s="161"/>
      <c r="DI17" s="55"/>
      <c r="DJ17" s="55"/>
      <c r="DK17" s="15"/>
      <c r="DL17" s="155"/>
      <c r="DM17" s="15"/>
      <c r="DN17" s="55"/>
      <c r="DO17" s="55"/>
      <c r="DQ17" s="161"/>
      <c r="DT17" s="55"/>
      <c r="DU17" s="55"/>
      <c r="DV17" s="15"/>
      <c r="DW17" s="155"/>
      <c r="DX17" s="15"/>
      <c r="DY17" s="55"/>
      <c r="DZ17" s="55"/>
      <c r="EB17" s="161"/>
      <c r="EE17" s="55"/>
      <c r="EF17" s="55"/>
      <c r="EG17" s="15"/>
      <c r="EH17" s="155"/>
      <c r="EI17" s="15"/>
      <c r="EJ17" s="55"/>
      <c r="EK17" s="55"/>
      <c r="EM17" s="161"/>
      <c r="EP17" s="55"/>
      <c r="EQ17" s="55"/>
      <c r="ER17" s="15"/>
      <c r="ES17" s="155"/>
      <c r="ET17" s="15"/>
      <c r="EU17" s="55"/>
      <c r="EV17" s="55"/>
      <c r="EX17" s="161"/>
      <c r="FA17" s="55"/>
      <c r="FB17" s="55"/>
      <c r="FC17" s="15"/>
      <c r="FD17" s="155"/>
      <c r="FE17" s="15"/>
      <c r="FF17" s="55"/>
      <c r="FG17" s="55"/>
      <c r="FI17" s="161"/>
      <c r="FL17" s="15"/>
      <c r="FM17" s="15"/>
      <c r="FN17" s="15"/>
      <c r="FO17" s="155"/>
      <c r="FP17" s="15"/>
      <c r="FQ17" s="15"/>
      <c r="FR17" s="15"/>
      <c r="FT17" s="161"/>
    </row>
    <row r="18" spans="2:176" ht="17.25" customHeight="1" thickTop="1" thickBot="1" x14ac:dyDescent="0.35">
      <c r="B18" s="8" t="s">
        <v>15</v>
      </c>
      <c r="C18" s="57">
        <f>C12+C16</f>
        <v>4824.9309314895327</v>
      </c>
      <c r="D18" s="57">
        <f>D12+D16</f>
        <v>4619.2501445976377</v>
      </c>
      <c r="E18" s="17"/>
      <c r="F18" s="59">
        <f t="shared" ref="F18:F23" si="83">IFERROR((D18-C18)/C18,0)</f>
        <v>-4.2628752579552065E-2</v>
      </c>
      <c r="G18" s="17"/>
      <c r="H18" s="57">
        <f>H12+H16</f>
        <v>4904.3794304656712</v>
      </c>
      <c r="I18" s="57">
        <f>I12+I16</f>
        <v>5427.7836803338178</v>
      </c>
      <c r="J18" s="17"/>
      <c r="K18" s="59">
        <f t="shared" si="12"/>
        <v>4.0025074422431972E-2</v>
      </c>
      <c r="M18" s="8" t="s">
        <v>15</v>
      </c>
      <c r="N18" s="244">
        <v>4686.0463710348868</v>
      </c>
      <c r="O18" s="244">
        <v>4592.025097014799</v>
      </c>
      <c r="P18" s="240"/>
      <c r="Q18" s="246">
        <v>-2.0064093817177414E-2</v>
      </c>
      <c r="R18" s="240"/>
      <c r="S18" s="244">
        <v>4601.2567301441222</v>
      </c>
      <c r="T18" s="244">
        <v>4830.5523073200238</v>
      </c>
      <c r="U18" s="240"/>
      <c r="V18" s="246">
        <v>1.0175277887552348E-2</v>
      </c>
      <c r="X18" s="8" t="s">
        <v>15</v>
      </c>
      <c r="Y18" s="57">
        <f>Y12+Y16</f>
        <v>138.88456045464682</v>
      </c>
      <c r="Z18" s="57">
        <f>Z12+Z16</f>
        <v>27.225047582840034</v>
      </c>
      <c r="AA18" s="17"/>
      <c r="AB18" s="59">
        <f t="shared" ref="AB18:AB23" si="84">IFERROR((Z18-Y18)/Y18,0)</f>
        <v>-0.80397354829278911</v>
      </c>
      <c r="AC18" s="17"/>
      <c r="AD18" s="57">
        <f>AD12+AD16</f>
        <v>303.12270032154811</v>
      </c>
      <c r="AE18" s="57">
        <f>AE12+AE16</f>
        <v>597.23137301379393</v>
      </c>
      <c r="AF18" s="17"/>
      <c r="AG18" s="59">
        <f t="shared" si="14"/>
        <v>0.6261585300844219</v>
      </c>
      <c r="AI18" s="8" t="s">
        <v>15</v>
      </c>
      <c r="AJ18" s="57">
        <f>AJ12+AJ16</f>
        <v>-410.86861958340734</v>
      </c>
      <c r="AK18" s="57">
        <f>AK12+AK16</f>
        <v>-422.04652610470259</v>
      </c>
      <c r="AL18" s="17"/>
      <c r="AM18" s="59">
        <f t="shared" ref="AM18:AM23" si="85">IFERROR((AK18-AJ18)/AJ18,0)</f>
        <v>2.7205549386149004E-2</v>
      </c>
      <c r="AN18" s="17"/>
      <c r="AO18" s="57">
        <f>AO12+AO16</f>
        <v>-390.62032070698325</v>
      </c>
      <c r="AP18" s="57">
        <f>AP12+AP16</f>
        <v>-386.72363700879714</v>
      </c>
      <c r="AQ18" s="17"/>
      <c r="AR18" s="100">
        <f t="shared" si="16"/>
        <v>-1.9985319290586778E-2</v>
      </c>
      <c r="AS18" s="105"/>
      <c r="AT18" s="101" t="s">
        <v>15</v>
      </c>
      <c r="AU18" s="57">
        <f>AU12+AU16</f>
        <v>-103.92025645447086</v>
      </c>
      <c r="AV18" s="57">
        <f>AV12+AV16</f>
        <v>-142.4001859351437</v>
      </c>
      <c r="AW18" s="17"/>
      <c r="AX18" s="59">
        <f t="shared" ref="AX18:AX23" si="86">IFERROR((AV18-AU18)/AU18,0)</f>
        <v>0.37028324210815927</v>
      </c>
      <c r="AY18" s="17"/>
      <c r="AZ18" s="57">
        <f>AZ12+AZ16</f>
        <v>-137.52669151630576</v>
      </c>
      <c r="BA18" s="57">
        <f>BA12+BA16</f>
        <v>-145.08920893667434</v>
      </c>
      <c r="BB18" s="17"/>
      <c r="BC18" s="100">
        <f t="shared" ref="BC18:BC23" si="87">IFERROR(((BA18/AU18)^(1/3))-1,0)</f>
        <v>0.11766495688900114</v>
      </c>
      <c r="BD18" s="105"/>
      <c r="BE18" s="101" t="s">
        <v>15</v>
      </c>
      <c r="BF18" s="57">
        <f>BF12+BF16</f>
        <v>-306.94836312893648</v>
      </c>
      <c r="BG18" s="57">
        <f>BG12+BG16</f>
        <v>-279.64634016955887</v>
      </c>
      <c r="BH18" s="17"/>
      <c r="BI18" s="59">
        <f t="shared" ref="BI18:BI23" si="88">IFERROR((BG18-BF18)/BF18,0)</f>
        <v>-8.894663154762987E-2</v>
      </c>
      <c r="BJ18" s="17"/>
      <c r="BK18" s="57">
        <f>BK12+BK16</f>
        <v>-253.0936291906774</v>
      </c>
      <c r="BL18" s="57">
        <f>BL12+BL16</f>
        <v>-241.63442807212277</v>
      </c>
      <c r="BM18" s="17"/>
      <c r="BN18" s="100">
        <f t="shared" ref="BN18:BN23" si="89">IFERROR(((BL18/BF18)^(1/3))-1,0)</f>
        <v>-7.6653947216001717E-2</v>
      </c>
      <c r="BP18" s="8" t="s">
        <v>15</v>
      </c>
      <c r="BQ18" s="57">
        <f>BQ12+BQ16</f>
        <v>549.75318003805432</v>
      </c>
      <c r="BR18" s="57">
        <f>BR12+BR16</f>
        <v>449.27157368754251</v>
      </c>
      <c r="BS18" s="17"/>
      <c r="BT18" s="157">
        <f t="shared" ref="BT18:BT23" si="90">IFERROR((BR18-BQ18)/BQ18,0)</f>
        <v>-0.18277585287193135</v>
      </c>
      <c r="BU18" s="17"/>
      <c r="BV18" s="57">
        <f>BV12+BV16</f>
        <v>693.74302102853153</v>
      </c>
      <c r="BW18" s="57">
        <f>BW12+BW16</f>
        <v>983.95501002259152</v>
      </c>
      <c r="BX18" s="17"/>
      <c r="BY18" s="157">
        <f t="shared" si="24"/>
        <v>0.21414110844122303</v>
      </c>
      <c r="CA18" s="8" t="s">
        <v>15</v>
      </c>
      <c r="CB18" s="57">
        <f>CB12+CB16</f>
        <v>18.300966544946959</v>
      </c>
      <c r="CC18" s="57">
        <f>CC12+CC16</f>
        <v>243.40019192008526</v>
      </c>
      <c r="CD18" s="17"/>
      <c r="CE18" s="157">
        <f t="shared" ref="CE18:CE23" si="91">IFERROR((CC18-CB18)/CB18,0)</f>
        <v>12.299854481581464</v>
      </c>
      <c r="CF18" s="17"/>
      <c r="CG18" s="57">
        <f>CG12+CG16</f>
        <v>550.38080093483904</v>
      </c>
      <c r="CH18" s="57">
        <f>CH12+CH16</f>
        <v>838.4217714079914</v>
      </c>
      <c r="CI18" s="17"/>
      <c r="CJ18" s="157">
        <f t="shared" si="28"/>
        <v>2.5781854056228042</v>
      </c>
      <c r="CL18" s="8" t="s">
        <v>15</v>
      </c>
      <c r="CM18" s="57">
        <f>CM12+CM16</f>
        <v>-392.4167480006131</v>
      </c>
      <c r="CN18" s="57">
        <f>CN12+CN16</f>
        <v>-233.86378339954445</v>
      </c>
      <c r="CO18" s="17"/>
      <c r="CP18" s="157">
        <f t="shared" ref="CP18:CP23" si="92">IFERROR((CN18-CM18)/CM18,0)</f>
        <v>-0.40404229791135454</v>
      </c>
      <c r="CQ18" s="17"/>
      <c r="CR18" s="57">
        <f>CR12+CR16</f>
        <v>-54.394970208799577</v>
      </c>
      <c r="CS18" s="57">
        <f>CS12+CS16</f>
        <v>94.156534278188246</v>
      </c>
      <c r="CT18" s="17"/>
      <c r="CU18" s="157">
        <f t="shared" si="30"/>
        <v>-1.6213948411364933</v>
      </c>
      <c r="CW18" s="8" t="s">
        <v>15</v>
      </c>
      <c r="CX18" s="57">
        <f>CX12+CX16</f>
        <v>410.71771454556034</v>
      </c>
      <c r="CY18" s="57">
        <f>CY12+CY16</f>
        <v>477.26397531962971</v>
      </c>
      <c r="CZ18" s="17"/>
      <c r="DA18" s="157">
        <f t="shared" ref="DA18:DA23" si="93">IFERROR((CY18-CX18)/CX18,0)</f>
        <v>0.1620243257530288</v>
      </c>
      <c r="DB18" s="17"/>
      <c r="DC18" s="57">
        <f>DC12+DC16</f>
        <v>604.77577114363828</v>
      </c>
      <c r="DD18" s="57">
        <f>DD12+DD16</f>
        <v>744.26523712980315</v>
      </c>
      <c r="DE18" s="17"/>
      <c r="DF18" s="157">
        <f t="shared" si="32"/>
        <v>0.21916204379372228</v>
      </c>
      <c r="DH18" s="8" t="s">
        <v>15</v>
      </c>
      <c r="DI18" s="57">
        <f>DI12+DI16</f>
        <v>170.97640248270619</v>
      </c>
      <c r="DJ18" s="57">
        <f>DJ12+DJ16</f>
        <v>189.23620449570515</v>
      </c>
      <c r="DK18" s="17"/>
      <c r="DL18" s="157">
        <f t="shared" ref="DL18:DL23" si="94">IFERROR((DJ18-DI18)/DI18,0)</f>
        <v>0.10679720562517914</v>
      </c>
      <c r="DM18" s="17"/>
      <c r="DN18" s="57">
        <f>DN12+DN16</f>
        <v>205.50117198374511</v>
      </c>
      <c r="DO18" s="57">
        <f>DO12+DO16</f>
        <v>221.16038420716023</v>
      </c>
      <c r="DP18" s="17"/>
      <c r="DQ18" s="157">
        <f t="shared" si="34"/>
        <v>8.9574808616483814E-2</v>
      </c>
      <c r="DS18" s="8" t="s">
        <v>15</v>
      </c>
      <c r="DT18" s="57">
        <f>DT12+DT16</f>
        <v>-17.173649615742146</v>
      </c>
      <c r="DU18" s="57">
        <f>DU12+DU16</f>
        <v>-11.619318439926996</v>
      </c>
      <c r="DV18" s="17"/>
      <c r="DW18" s="157">
        <f t="shared" ref="DW18:DW23" si="95">IFERROR((DU18-DT18)/DT18,0)</f>
        <v>-0.32342171292022859</v>
      </c>
      <c r="DX18" s="17"/>
      <c r="DY18" s="57">
        <f>DY12+DY16</f>
        <v>-5.0055963115159763</v>
      </c>
      <c r="DZ18" s="57">
        <f>DZ12+DZ16</f>
        <v>2.0487528177628143</v>
      </c>
      <c r="EA18" s="17"/>
      <c r="EB18" s="157">
        <f t="shared" si="36"/>
        <v>-1.4922763690286256</v>
      </c>
      <c r="ED18" s="8" t="s">
        <v>15</v>
      </c>
      <c r="EE18" s="57">
        <f>EE12+EE16</f>
        <v>30.040797761756394</v>
      </c>
      <c r="EF18" s="57">
        <f>EF12+EF16</f>
        <v>30.302811673747328</v>
      </c>
      <c r="EG18" s="17"/>
      <c r="EH18" s="157">
        <f t="shared" ref="EH18:EH23" si="96">IFERROR((EF18-EE18)/EE18,0)</f>
        <v>8.7219358842890726E-3</v>
      </c>
      <c r="EI18" s="17"/>
      <c r="EJ18" s="57">
        <f>EJ12+EJ16</f>
        <v>4.855753319533278</v>
      </c>
      <c r="EK18" s="57">
        <f>EK12+EK16</f>
        <v>-9.661442175842808</v>
      </c>
      <c r="EL18" s="17"/>
      <c r="EM18" s="157">
        <f t="shared" si="38"/>
        <v>-1.6851360704080058</v>
      </c>
      <c r="EO18" s="8" t="s">
        <v>15</v>
      </c>
      <c r="EP18" s="57">
        <f>EP12+EP16</f>
        <v>347.60866286438687</v>
      </c>
      <c r="EQ18" s="57">
        <f>EQ12+EQ16</f>
        <v>-2.0483159620683864</v>
      </c>
      <c r="ER18" s="17"/>
      <c r="ES18" s="157">
        <f t="shared" ref="ES18:ES23" si="97">IFERROR((EQ18-EP18)/EP18,0)</f>
        <v>-1.0058925918162962</v>
      </c>
      <c r="ET18" s="17"/>
      <c r="EU18" s="57">
        <f>EU12+EU16</f>
        <v>-61.989108898070398</v>
      </c>
      <c r="EV18" s="57">
        <f>EV12+EV16</f>
        <v>-68.014456234479823</v>
      </c>
      <c r="EW18" s="17"/>
      <c r="EX18" s="157">
        <f t="shared" si="40"/>
        <v>-1.5805463243517208</v>
      </c>
      <c r="EZ18" s="8" t="s">
        <v>15</v>
      </c>
      <c r="FA18" s="57">
        <f>FA12+FA16</f>
        <v>-101.82195018574311</v>
      </c>
      <c r="FB18" s="57">
        <f>FB12+FB16</f>
        <v>-297.62940837169288</v>
      </c>
      <c r="FC18" s="17"/>
      <c r="FD18" s="157">
        <f t="shared" ref="FD18:FD23" si="98">IFERROR((FB18-FA18)/FA18,0)</f>
        <v>1.9230377912499099</v>
      </c>
      <c r="FE18" s="17"/>
      <c r="FF18" s="57">
        <f>FF12+FF16</f>
        <v>-391.95685876311057</v>
      </c>
      <c r="FG18" s="57">
        <f>FG12+FG16</f>
        <v>-419.71536386057198</v>
      </c>
      <c r="FH18" s="17"/>
      <c r="FI18" s="157">
        <f t="shared" si="42"/>
        <v>0.60338500881389034</v>
      </c>
      <c r="FK18" s="8" t="s">
        <v>15</v>
      </c>
      <c r="FL18" s="57">
        <f>FL12+FL16</f>
        <v>449.43061305012998</v>
      </c>
      <c r="FM18" s="57">
        <f>FM12+FM16</f>
        <v>295.58109240962449</v>
      </c>
      <c r="FN18" s="17"/>
      <c r="FO18" s="157">
        <f t="shared" ref="FO18:FO23" si="99">IFERROR((FM18-FL18)/FL18,0)</f>
        <v>-0.34232096384441207</v>
      </c>
      <c r="FP18" s="17"/>
      <c r="FQ18" s="57">
        <f>FQ12+FQ16</f>
        <v>329.96774986504016</v>
      </c>
      <c r="FR18" s="57">
        <f>FR12+FR16</f>
        <v>351.70090762609215</v>
      </c>
      <c r="FS18" s="17"/>
      <c r="FT18" s="157">
        <f t="shared" si="44"/>
        <v>-7.8482445712977467E-2</v>
      </c>
    </row>
    <row r="19" spans="2:176" ht="16.2" thickTop="1" x14ac:dyDescent="0.3">
      <c r="B19" s="9" t="s">
        <v>16</v>
      </c>
      <c r="C19" s="58">
        <f t="shared" ref="C19:C20" si="100">N19+Y19</f>
        <v>-3251.6304567405568</v>
      </c>
      <c r="D19" s="58">
        <f t="shared" ref="D19:D20" si="101">O19+Z19</f>
        <v>-3524.9148493023331</v>
      </c>
      <c r="F19" s="60">
        <f t="shared" si="83"/>
        <v>8.4045341620928624E-2</v>
      </c>
      <c r="H19" s="58">
        <f t="shared" ref="H19:H20" si="102">S19+AD19</f>
        <v>-3447.1478250374284</v>
      </c>
      <c r="I19" s="58">
        <f t="shared" ref="I19:I20" si="103">T19+AE19</f>
        <v>-3454.3371006151147</v>
      </c>
      <c r="K19" s="63">
        <f t="shared" si="12"/>
        <v>2.0362552256421029E-2</v>
      </c>
      <c r="M19" s="9" t="s">
        <v>16</v>
      </c>
      <c r="N19" s="245">
        <v>-3221.95905225959</v>
      </c>
      <c r="O19" s="245">
        <v>-3344.9089387487884</v>
      </c>
      <c r="P19" s="237"/>
      <c r="Q19" s="247">
        <v>3.8159977980779282E-2</v>
      </c>
      <c r="R19" s="237"/>
      <c r="S19" s="245">
        <v>-3247.1374663527163</v>
      </c>
      <c r="T19" s="245">
        <v>-3230.9415827434027</v>
      </c>
      <c r="U19" s="237"/>
      <c r="V19" s="249">
        <v>9.2844092149668711E-4</v>
      </c>
      <c r="X19" s="9" t="s">
        <v>16</v>
      </c>
      <c r="Y19" s="58">
        <f>AJ19+BQ19</f>
        <v>-29.67140448096692</v>
      </c>
      <c r="Z19" s="58">
        <f>AK19+BR19</f>
        <v>-180.00591055354457</v>
      </c>
      <c r="AB19" s="60">
        <f t="shared" si="84"/>
        <v>5.0666461093545987</v>
      </c>
      <c r="AD19" s="58">
        <f>AO19+BV19</f>
        <v>-200.01035868471229</v>
      </c>
      <c r="AE19" s="58">
        <f>AP19+BW19</f>
        <v>-223.39551787171183</v>
      </c>
      <c r="AG19" s="63">
        <f t="shared" si="14"/>
        <v>0.95995206783597942</v>
      </c>
      <c r="AI19" s="9" t="s">
        <v>16</v>
      </c>
      <c r="AJ19" s="58">
        <f>SUM([3]AC!$E$390:$H$390,[3]AC!$E$392:$H$393)/1000</f>
        <v>-7.4884530000000005E-2</v>
      </c>
      <c r="AK19" s="58">
        <f>(SUM([3]AC!$I$390,[3]AC!$I$392:$I$393))/1000</f>
        <v>0</v>
      </c>
      <c r="AM19" s="60">
        <f t="shared" si="85"/>
        <v>-1</v>
      </c>
      <c r="AO19" s="58">
        <f>(SUM([3]AC!$J$390,[3]AC!$J$392:$J$393))/1000</f>
        <v>0</v>
      </c>
      <c r="AP19" s="58">
        <f>(SUM([3]AC!$K$390,[3]AC!$K$392:$K$393))/1000</f>
        <v>0</v>
      </c>
      <c r="AR19" s="63">
        <f t="shared" si="16"/>
        <v>-1</v>
      </c>
      <c r="AS19" s="104"/>
      <c r="AT19" s="9" t="s">
        <v>16</v>
      </c>
      <c r="AU19" s="55">
        <f>SUM([4]AC!$E$390:$H$390,[4]AC!$E$392:$H$393)/1000</f>
        <v>0</v>
      </c>
      <c r="AV19" s="55">
        <f>(SUM([4]AC!$I$390,[4]AC!$I$392:$I$393))/1000</f>
        <v>0</v>
      </c>
      <c r="AW19" s="15"/>
      <c r="AX19" s="60">
        <f t="shared" si="86"/>
        <v>0</v>
      </c>
      <c r="AY19" s="15"/>
      <c r="AZ19" s="55">
        <f>(SUM([4]AC!$J$390,[4]AC!$J$392:$J$393))/1000</f>
        <v>0</v>
      </c>
      <c r="BA19" s="55">
        <f>(SUM([4]AC!$K$390,[4]AC!$K$392:$K$393))/1000</f>
        <v>0</v>
      </c>
      <c r="BC19" s="63">
        <f t="shared" si="87"/>
        <v>0</v>
      </c>
      <c r="BD19" s="104"/>
      <c r="BE19" s="9" t="s">
        <v>16</v>
      </c>
      <c r="BF19" s="55">
        <f t="shared" ref="BF19:BF20" si="104">AJ19-AU19</f>
        <v>-7.4884530000000005E-2</v>
      </c>
      <c r="BG19" s="55">
        <f t="shared" ref="BG19:BG20" si="105">AK19-AV19</f>
        <v>0</v>
      </c>
      <c r="BH19" s="15"/>
      <c r="BI19" s="60">
        <f t="shared" si="88"/>
        <v>-1</v>
      </c>
      <c r="BJ19" s="15"/>
      <c r="BK19" s="55">
        <f t="shared" ref="BK19:BK20" si="106">AO19-AZ19</f>
        <v>0</v>
      </c>
      <c r="BL19" s="55">
        <f t="shared" ref="BL19:BL20" si="107">AP19-BA19</f>
        <v>0</v>
      </c>
      <c r="BN19" s="63">
        <f t="shared" si="89"/>
        <v>-1</v>
      </c>
      <c r="BP19" s="9" t="s">
        <v>16</v>
      </c>
      <c r="BQ19" s="62">
        <f>CB19+DI19+DT19+EE19+EP19</f>
        <v>-29.596519950966922</v>
      </c>
      <c r="BR19" s="62">
        <f>CC19+DJ19+DU19+EF19+EQ19</f>
        <v>-180.00591055354457</v>
      </c>
      <c r="BT19" s="155">
        <f t="shared" si="90"/>
        <v>5.0819958174732554</v>
      </c>
      <c r="BV19" s="62">
        <f>CG19+DN19+DY19+EJ19+EU19</f>
        <v>-200.01035868471229</v>
      </c>
      <c r="BW19" s="62">
        <f>CH19+DO19+DZ19+EK19+EV19</f>
        <v>-223.39551787171183</v>
      </c>
      <c r="BY19" s="162">
        <f t="shared" si="24"/>
        <v>0.96160368631955584</v>
      </c>
      <c r="CA19" s="9" t="s">
        <v>16</v>
      </c>
      <c r="CB19" s="62">
        <f t="shared" ref="CB19:CB20" si="108">CM19+CX19</f>
        <v>-98.591816066996785</v>
      </c>
      <c r="CC19" s="62">
        <f t="shared" ref="CC19:CC20" si="109">CN19+CY19</f>
        <v>-171.74947678908356</v>
      </c>
      <c r="CE19" s="155">
        <f t="shared" si="91"/>
        <v>0.74202569381999661</v>
      </c>
      <c r="CG19" s="62">
        <f t="shared" ref="CG19:CG20" si="110">CR19+DC19</f>
        <v>-195.98499254307308</v>
      </c>
      <c r="CH19" s="62">
        <f t="shared" ref="CH19:CH20" si="111">CS19+DD19</f>
        <v>-213.85552782587828</v>
      </c>
      <c r="CJ19" s="162">
        <f t="shared" si="28"/>
        <v>0.29447362093749141</v>
      </c>
      <c r="CL19" s="9" t="s">
        <v>16</v>
      </c>
      <c r="CM19" s="58">
        <f>SUM([5]AN01010300!$E$390:$H$390,[5]AN01010300!$E$392:$H$393)/1000</f>
        <v>-65.857934360037433</v>
      </c>
      <c r="CN19" s="58">
        <f>(SUM([5]AN01010300!$I$390,[5]AN01010300!$I$392:$I$393))/1000</f>
        <v>-79.776350000000008</v>
      </c>
      <c r="CP19" s="155">
        <f t="shared" si="92"/>
        <v>0.21133999684642801</v>
      </c>
      <c r="CR19" s="58">
        <f>(SUM([5]AN01010300!$J$390,[5]AN01010300!$J$392:$J$393))/1000</f>
        <v>-95.080387000000002</v>
      </c>
      <c r="CS19" s="58">
        <f>(SUM([5]AN01010300!$K$390,[5]AN01010300!$K$392:$K$393))/1000</f>
        <v>-110.36798333333334</v>
      </c>
      <c r="CU19" s="162">
        <f t="shared" si="30"/>
        <v>0.18780459425867546</v>
      </c>
      <c r="CW19" s="9" t="s">
        <v>16</v>
      </c>
      <c r="CX19" s="58">
        <f>SUM('[5]BC1010:BC1015'!$E$390:$H$390,'[5]BC1010:BC1015'!$E$392:$H$393)/1000</f>
        <v>-32.733881706959359</v>
      </c>
      <c r="CY19" s="58">
        <f>(SUM('[5]BC1010:BC1015'!$I$390,'[5]BC1010:BC1015'!$I$392:$I$393))/1000</f>
        <v>-91.973126789083551</v>
      </c>
      <c r="DA19" s="155">
        <f t="shared" si="93"/>
        <v>1.8097225869038833</v>
      </c>
      <c r="DC19" s="58">
        <f>(SUM('[5]BC1010:BC1015'!$J$390,'[5]BC1010:BC1015'!$J$392:$J$393))/1000</f>
        <v>-100.90460554307309</v>
      </c>
      <c r="DD19" s="58">
        <f>(SUM('[5]BC1010:BC1015'!$K$390,'[5]BC1010:BC1015'!$K$392:$K$393))/1000</f>
        <v>-103.48754449254494</v>
      </c>
      <c r="DF19" s="162">
        <f t="shared" si="32"/>
        <v>0.46767599556209438</v>
      </c>
      <c r="DH19" s="9" t="s">
        <v>16</v>
      </c>
      <c r="DI19" s="58">
        <f>SUM([5]AN02020100:AN02020150!$E$390:$H$390,[5]AN02020100:AN02020150!$E$392:$H$393)/1000</f>
        <v>0.96424794617643417</v>
      </c>
      <c r="DJ19" s="58">
        <f>(SUM([5]AN02020100:AN02020150!$I$390,[5]AN02020100:AN02020150!$I$392:$I$393))/1000</f>
        <v>-12.910919224952202</v>
      </c>
      <c r="DL19" s="155">
        <f t="shared" si="94"/>
        <v>-14.38962584898243</v>
      </c>
      <c r="DN19" s="58">
        <f>(SUM([5]AN02020100:AN02020150!$J$390,[5]AN02020100:AN02020150!$J$392:$J$393))/1000</f>
        <v>-8.4238083098694698</v>
      </c>
      <c r="DO19" s="58">
        <f>(SUM([5]AN02020100:AN02020150!$K$390,[5]AN02020100:AN02020150!$K$392:$K$393))/1000</f>
        <v>-10.816170688189903</v>
      </c>
      <c r="DQ19" s="162">
        <f t="shared" si="34"/>
        <v>-3.2385232178634098</v>
      </c>
      <c r="DS19" s="9" t="s">
        <v>16</v>
      </c>
      <c r="DT19" s="58">
        <f>SUM([5]BC1020!$E$390:$H$390,[5]BC1020!$E$392:$H$393)/1000</f>
        <v>-1.6193100000000001E-3</v>
      </c>
      <c r="DU19" s="58">
        <f>(SUM([5]BC1020!$I$390,[5]BC1020!$I$392:$I$393))/1000</f>
        <v>-1.512956469779665E-3</v>
      </c>
      <c r="DW19" s="155">
        <f t="shared" si="95"/>
        <v>-6.5678301387834995E-2</v>
      </c>
      <c r="DY19" s="58">
        <f>(SUM([5]BC1020!$J$390,[5]BC1020!$J$392:$J$393))/1000</f>
        <v>-8.8158033196507888E-4</v>
      </c>
      <c r="DZ19" s="58">
        <f>(SUM([5]BC1020!$K$390,[5]BC1020!$K$392:$K$393))/1000</f>
        <v>-4.8641826998799097E-4</v>
      </c>
      <c r="EB19" s="162">
        <f t="shared" si="36"/>
        <v>-0.33027996133202486</v>
      </c>
      <c r="ED19" s="9" t="s">
        <v>16</v>
      </c>
      <c r="EE19" s="58">
        <f>SUM([5]FC!$E$390:$H$390,[5]FC!$E$392:$H$393)/1000</f>
        <v>-2E-8</v>
      </c>
      <c r="EF19" s="58">
        <f>(SUM([5]FC!$I$390,[5]FC!$I$392:$I$393))/1000</f>
        <v>0</v>
      </c>
      <c r="EH19" s="155">
        <f t="shared" si="96"/>
        <v>-1</v>
      </c>
      <c r="EJ19" s="58">
        <f>(SUM([5]FC!$J$390,[5]FC!$J$392:$J$393))/1000</f>
        <v>0</v>
      </c>
      <c r="EK19" s="58">
        <f>(SUM([5]FC!$K$390,[5]FC!$K$392:$K$393))/1000</f>
        <v>0</v>
      </c>
      <c r="EM19" s="162">
        <f t="shared" si="38"/>
        <v>-1</v>
      </c>
      <c r="EO19" s="9" t="s">
        <v>16</v>
      </c>
      <c r="EP19" s="58">
        <f>SUM([5]AC!$E$390:$H$390,[5]AC!$E$392:$H$393)/1000</f>
        <v>68.032667499853432</v>
      </c>
      <c r="EQ19" s="58">
        <f>(SUM([5]AC!$I$390,[5]AC!$I$392:$I$393))/1000</f>
        <v>4.6559984169609914</v>
      </c>
      <c r="ES19" s="155">
        <f t="shared" si="97"/>
        <v>-0.93156231281140023</v>
      </c>
      <c r="EU19" s="58">
        <f>(SUM([5]AC!$J$390,[5]AC!$J$392:$J$393))/1000</f>
        <v>4.3993237485622236</v>
      </c>
      <c r="EV19" s="58">
        <f>(SUM([5]AC!$K$390,[5]AC!$K$392:$K$393))/1000</f>
        <v>1.276667060626357</v>
      </c>
      <c r="EX19" s="162">
        <f t="shared" si="40"/>
        <v>-0.73426216981692782</v>
      </c>
      <c r="EZ19" s="9" t="s">
        <v>16</v>
      </c>
      <c r="FA19" s="58">
        <f>SUM([6]AC!$E$390:$H$390,[6]AC!$E$392:$H$393)/1000</f>
        <v>0</v>
      </c>
      <c r="FB19" s="58">
        <f>(SUM([6]AC!$I$390,[6]AC!$I$392:$I$393))/1000</f>
        <v>0</v>
      </c>
      <c r="FD19" s="155">
        <f t="shared" si="98"/>
        <v>0</v>
      </c>
      <c r="FF19" s="58">
        <f>(SUM([6]AC!$J$390,[6]AC!$J$392:$J$393))/1000</f>
        <v>0</v>
      </c>
      <c r="FG19" s="58">
        <f>(SUM([6]AC!$K$390,[6]AC!$K$392:$K$393))/1000</f>
        <v>0</v>
      </c>
      <c r="FI19" s="162">
        <f t="shared" si="42"/>
        <v>0</v>
      </c>
      <c r="FK19" s="9" t="s">
        <v>16</v>
      </c>
      <c r="FL19" s="55">
        <f>EP19-FA19</f>
        <v>68.032667499853432</v>
      </c>
      <c r="FM19" s="55">
        <f>EQ19-FB19</f>
        <v>4.6559984169609914</v>
      </c>
      <c r="FN19" s="15"/>
      <c r="FO19" s="155">
        <f t="shared" si="99"/>
        <v>-0.93156231281140023</v>
      </c>
      <c r="FP19" s="15"/>
      <c r="FQ19" s="55">
        <f>EU19-FF19</f>
        <v>4.3993237485622236</v>
      </c>
      <c r="FR19" s="55">
        <f>EV19-FG19</f>
        <v>1.276667060626357</v>
      </c>
      <c r="FT19" s="162">
        <f t="shared" si="44"/>
        <v>-0.73426216981692782</v>
      </c>
    </row>
    <row r="20" spans="2:176" ht="16.2" thickBot="1" x14ac:dyDescent="0.35">
      <c r="B20" s="10" t="s">
        <v>17</v>
      </c>
      <c r="C20" s="58">
        <f t="shared" si="100"/>
        <v>-80.51566518205999</v>
      </c>
      <c r="D20" s="58">
        <f t="shared" si="101"/>
        <v>-24.212115575999995</v>
      </c>
      <c r="F20" s="60">
        <f t="shared" si="83"/>
        <v>-0.69928689626730189</v>
      </c>
      <c r="H20" s="58">
        <f t="shared" si="102"/>
        <v>-24.212115575999995</v>
      </c>
      <c r="I20" s="58">
        <f t="shared" si="103"/>
        <v>-24.212115575999995</v>
      </c>
      <c r="K20" s="63">
        <f t="shared" si="12"/>
        <v>-0.33003705281562512</v>
      </c>
      <c r="M20" s="10" t="s">
        <v>17</v>
      </c>
      <c r="N20" s="245">
        <v>-54.14092212984</v>
      </c>
      <c r="O20" s="245">
        <v>0</v>
      </c>
      <c r="P20" s="237"/>
      <c r="Q20" s="247">
        <v>-1</v>
      </c>
      <c r="R20" s="237"/>
      <c r="S20" s="245">
        <v>0</v>
      </c>
      <c r="T20" s="245">
        <v>0</v>
      </c>
      <c r="U20" s="237"/>
      <c r="V20" s="249">
        <v>-1</v>
      </c>
      <c r="X20" s="10" t="s">
        <v>17</v>
      </c>
      <c r="Y20" s="58">
        <f>AJ20+BQ20</f>
        <v>-26.374743052219991</v>
      </c>
      <c r="Z20" s="58">
        <f>AK20+BR20</f>
        <v>-24.212115575999995</v>
      </c>
      <c r="AB20" s="60">
        <f t="shared" si="84"/>
        <v>-8.1996153363016924E-2</v>
      </c>
      <c r="AD20" s="58">
        <f>AO20+BV20</f>
        <v>-24.212115575999995</v>
      </c>
      <c r="AE20" s="58">
        <f>AP20+BW20</f>
        <v>-24.212115575999995</v>
      </c>
      <c r="AG20" s="63">
        <f t="shared" si="14"/>
        <v>-2.8115102144733228E-2</v>
      </c>
      <c r="AI20" s="10" t="s">
        <v>17</v>
      </c>
      <c r="AJ20" s="58">
        <f>SUM([3]AC!$E$397:$H$398)/1000</f>
        <v>-6.2610293800000001</v>
      </c>
      <c r="AK20" s="58">
        <f>(SUM([3]AC!$I$397:$I$398))/1000</f>
        <v>0</v>
      </c>
      <c r="AM20" s="60">
        <f t="shared" si="85"/>
        <v>-1</v>
      </c>
      <c r="AO20" s="58">
        <f>(SUM([3]AC!$J$397:$J$398))/1000</f>
        <v>0</v>
      </c>
      <c r="AP20" s="58">
        <f>(SUM([3]AC!$K$397:$K$398))/1000</f>
        <v>0</v>
      </c>
      <c r="AR20" s="63">
        <f t="shared" si="16"/>
        <v>-1</v>
      </c>
      <c r="AS20" s="104"/>
      <c r="AT20" s="10" t="s">
        <v>17</v>
      </c>
      <c r="AU20" s="55">
        <f>SUM([4]AC!$E$397:$H$398)/1000</f>
        <v>0</v>
      </c>
      <c r="AV20" s="55">
        <f>(SUM([4]AC!$I$397:$I$398))/1000</f>
        <v>0</v>
      </c>
      <c r="AW20" s="15"/>
      <c r="AX20" s="60">
        <f t="shared" si="86"/>
        <v>0</v>
      </c>
      <c r="AY20" s="15"/>
      <c r="AZ20" s="55">
        <f>(SUM([4]AC!$J$397:$J$398))/1000</f>
        <v>0</v>
      </c>
      <c r="BA20" s="55">
        <f>(SUM([4]AC!$K$397:$K$398))/1000</f>
        <v>0</v>
      </c>
      <c r="BC20" s="63">
        <f t="shared" si="87"/>
        <v>0</v>
      </c>
      <c r="BD20" s="104"/>
      <c r="BE20" s="10" t="s">
        <v>17</v>
      </c>
      <c r="BF20" s="55">
        <f t="shared" si="104"/>
        <v>-6.2610293800000001</v>
      </c>
      <c r="BG20" s="55">
        <f t="shared" si="105"/>
        <v>0</v>
      </c>
      <c r="BH20" s="15"/>
      <c r="BI20" s="60">
        <f t="shared" si="88"/>
        <v>-1</v>
      </c>
      <c r="BJ20" s="15"/>
      <c r="BK20" s="55">
        <f t="shared" si="106"/>
        <v>0</v>
      </c>
      <c r="BL20" s="55">
        <f t="shared" si="107"/>
        <v>0</v>
      </c>
      <c r="BN20" s="63">
        <f t="shared" si="89"/>
        <v>-1</v>
      </c>
      <c r="BP20" s="10" t="s">
        <v>17</v>
      </c>
      <c r="BQ20" s="62">
        <f>CB20+DI20+DT20+EE20+EP20</f>
        <v>-20.113713672219991</v>
      </c>
      <c r="BR20" s="62">
        <f>CC20+DJ20+DU20+EF20+EQ20</f>
        <v>-24.212115575999995</v>
      </c>
      <c r="BT20" s="155">
        <f t="shared" si="90"/>
        <v>0.20376157136215492</v>
      </c>
      <c r="BV20" s="62">
        <f>CG20+DN20+DY20+EJ20+EU20</f>
        <v>-24.212115575999995</v>
      </c>
      <c r="BW20" s="62">
        <f>CH20+DO20+DZ20+EK20+EV20</f>
        <v>-24.212115575999995</v>
      </c>
      <c r="BY20" s="162">
        <f t="shared" si="24"/>
        <v>6.3767762691744112E-2</v>
      </c>
      <c r="CA20" s="10" t="s">
        <v>17</v>
      </c>
      <c r="CB20" s="62">
        <f t="shared" si="108"/>
        <v>-11.452891665000001</v>
      </c>
      <c r="CC20" s="62">
        <f t="shared" si="109"/>
        <v>-2.949007574132231</v>
      </c>
      <c r="CE20" s="155">
        <f t="shared" si="91"/>
        <v>-0.74250978177464222</v>
      </c>
      <c r="CG20" s="62">
        <f t="shared" si="110"/>
        <v>-0.8410045199999997</v>
      </c>
      <c r="CH20" s="62">
        <f t="shared" si="111"/>
        <v>-0.48802506999999995</v>
      </c>
      <c r="CJ20" s="162">
        <f t="shared" si="28"/>
        <v>-0.65071843850922551</v>
      </c>
      <c r="CL20" s="10" t="s">
        <v>17</v>
      </c>
      <c r="CM20" s="58">
        <f>SUM([5]AN01010300!$E$397:$H$398)/1000</f>
        <v>-11.386891685</v>
      </c>
      <c r="CN20" s="58">
        <f>(SUM([5]AN01010300!$I$397:$I$398))/1000</f>
        <v>-2.949007574132231</v>
      </c>
      <c r="CP20" s="155">
        <f t="shared" si="92"/>
        <v>-0.74101733328885777</v>
      </c>
      <c r="CR20" s="58">
        <f>(SUM([5]AN01010300!$J$397:$J$398))/1000</f>
        <v>-0.8410045199999997</v>
      </c>
      <c r="CS20" s="58">
        <f>(SUM([5]AN01010300!$K$397:$K$398))/1000</f>
        <v>-0.48802506999999995</v>
      </c>
      <c r="CU20" s="162">
        <f t="shared" si="30"/>
        <v>-0.6500449102409821</v>
      </c>
      <c r="CW20" s="10" t="s">
        <v>17</v>
      </c>
      <c r="CX20" s="58">
        <f>SUM('[5]BC1010:BC1015'!$E$397:$H$398)/1000</f>
        <v>-6.599998E-2</v>
      </c>
      <c r="CY20" s="58">
        <f>(SUM('[5]BC1010:BC1015'!$I$397:$I$398))/1000</f>
        <v>0</v>
      </c>
      <c r="DA20" s="155">
        <f t="shared" si="93"/>
        <v>-1</v>
      </c>
      <c r="DC20" s="58">
        <f>(SUM('[5]BC1010:BC1015'!$J$397:$J$398))/1000</f>
        <v>0</v>
      </c>
      <c r="DD20" s="58">
        <f>(SUM('[5]BC1010:BC1015'!$K$397:$K$398))/1000</f>
        <v>0</v>
      </c>
      <c r="DF20" s="162">
        <f t="shared" si="32"/>
        <v>-1</v>
      </c>
      <c r="DH20" s="10" t="s">
        <v>17</v>
      </c>
      <c r="DI20" s="58">
        <f>SUM([5]AN02020100:AN02020150!$E$397:$H$398)/1000</f>
        <v>6.2356537770000005</v>
      </c>
      <c r="DJ20" s="58">
        <f>(SUM([5]AN02020100:AN02020150!$I$397:$I$398))/1000</f>
        <v>0</v>
      </c>
      <c r="DL20" s="155">
        <f t="shared" si="94"/>
        <v>-1</v>
      </c>
      <c r="DN20" s="58">
        <f>(SUM([5]AN02020100:AN02020150!$J$397:$J$398))/1000</f>
        <v>0</v>
      </c>
      <c r="DO20" s="58">
        <f>(SUM([5]AN02020100:AN02020150!$K$397:$K$398))/1000</f>
        <v>0</v>
      </c>
      <c r="DQ20" s="162">
        <f t="shared" si="34"/>
        <v>-1</v>
      </c>
      <c r="DS20" s="10" t="s">
        <v>17</v>
      </c>
      <c r="DT20" s="58">
        <f>SUM([5]BC1020!$E$397:$H$398)/1000</f>
        <v>0</v>
      </c>
      <c r="DU20" s="58">
        <f>(SUM([5]BC1020!$I$397:$I$398))/1000</f>
        <v>0</v>
      </c>
      <c r="DW20" s="155">
        <f t="shared" si="95"/>
        <v>0</v>
      </c>
      <c r="DY20" s="58">
        <f>(SUM([5]BC1020!$J$397:$J$398))/1000</f>
        <v>0</v>
      </c>
      <c r="DZ20" s="58">
        <f>(SUM([5]BC1020!$K$397:$K$398))/1000</f>
        <v>0</v>
      </c>
      <c r="EB20" s="162">
        <f t="shared" si="36"/>
        <v>0</v>
      </c>
      <c r="ED20" s="10" t="s">
        <v>17</v>
      </c>
      <c r="EE20" s="58">
        <f>SUM([5]FC!$E$397:$H$398)/1000</f>
        <v>0</v>
      </c>
      <c r="EF20" s="58">
        <f>(SUM([5]FC!$I$397:$I$398))/1000</f>
        <v>0</v>
      </c>
      <c r="EH20" s="155">
        <f t="shared" si="96"/>
        <v>0</v>
      </c>
      <c r="EJ20" s="58">
        <f>(SUM([5]FC!$J$397:$J$398))/1000</f>
        <v>0</v>
      </c>
      <c r="EK20" s="58">
        <f>(SUM([5]FC!$K$397:$K$398))/1000</f>
        <v>0</v>
      </c>
      <c r="EM20" s="162">
        <f t="shared" si="38"/>
        <v>0</v>
      </c>
      <c r="EO20" s="10" t="s">
        <v>17</v>
      </c>
      <c r="EP20" s="58">
        <f>SUM([5]AC!$E$397:$H$398)/1000</f>
        <v>-14.896475784219991</v>
      </c>
      <c r="EQ20" s="58">
        <f>(SUM([5]AC!$I$397:$I$398))/1000</f>
        <v>-21.263108001867764</v>
      </c>
      <c r="ES20" s="155">
        <f t="shared" si="97"/>
        <v>0.42739184152482695</v>
      </c>
      <c r="EU20" s="58">
        <f>(SUM([5]AC!$J$397:$J$398))/1000</f>
        <v>-23.371111055999997</v>
      </c>
      <c r="EV20" s="58">
        <f>(SUM([5]AC!$K$397:$K$398))/1000</f>
        <v>-23.724090505999996</v>
      </c>
      <c r="EX20" s="162">
        <f t="shared" si="40"/>
        <v>0.16780055972532915</v>
      </c>
      <c r="EZ20" s="10" t="s">
        <v>17</v>
      </c>
      <c r="FA20" s="58">
        <f>SUM([6]AC!$E$397:$H$398)/1000</f>
        <v>0</v>
      </c>
      <c r="FB20" s="58">
        <f>(SUM([6]AC!$I$397:$I$398))/1000</f>
        <v>0</v>
      </c>
      <c r="FD20" s="155">
        <f t="shared" si="98"/>
        <v>0</v>
      </c>
      <c r="FF20" s="58">
        <f>(SUM([6]AC!$J$397:$J$398))/1000</f>
        <v>0</v>
      </c>
      <c r="FG20" s="58">
        <f>(SUM([6]AC!$K$397:$K$398))/1000</f>
        <v>0</v>
      </c>
      <c r="FI20" s="162">
        <f t="shared" si="42"/>
        <v>0</v>
      </c>
      <c r="FK20" s="10" t="s">
        <v>17</v>
      </c>
      <c r="FL20" s="55">
        <f>EP20-FA20</f>
        <v>-14.896475784219991</v>
      </c>
      <c r="FM20" s="55">
        <f>EQ20-FB20</f>
        <v>-21.263108001867764</v>
      </c>
      <c r="FN20" s="15"/>
      <c r="FO20" s="155">
        <f t="shared" si="99"/>
        <v>0.42739184152482695</v>
      </c>
      <c r="FP20" s="15"/>
      <c r="FQ20" s="55">
        <f>EU20-FF20</f>
        <v>-23.371111055999997</v>
      </c>
      <c r="FR20" s="55">
        <f>EV20-FG20</f>
        <v>-23.724090505999996</v>
      </c>
      <c r="FT20" s="162">
        <f t="shared" si="44"/>
        <v>0.16780055972532915</v>
      </c>
    </row>
    <row r="21" spans="2:176" ht="17.25" customHeight="1" thickTop="1" thickBot="1" x14ac:dyDescent="0.35">
      <c r="B21" s="8" t="s">
        <v>18</v>
      </c>
      <c r="C21" s="57">
        <f>C18+C19+C20</f>
        <v>1492.7848095669158</v>
      </c>
      <c r="D21" s="57">
        <f>D18+D19+D20</f>
        <v>1070.1231797193045</v>
      </c>
      <c r="E21" s="17"/>
      <c r="F21" s="59">
        <f t="shared" si="83"/>
        <v>-0.28313634164741613</v>
      </c>
      <c r="G21" s="17"/>
      <c r="H21" s="57">
        <f>H18+H19+H20</f>
        <v>1433.0194898522427</v>
      </c>
      <c r="I21" s="57">
        <f>I18+I19+I20</f>
        <v>1949.234464142703</v>
      </c>
      <c r="J21" s="17"/>
      <c r="K21" s="59">
        <f t="shared" si="12"/>
        <v>9.3005359415096356E-2</v>
      </c>
      <c r="M21" s="8" t="s">
        <v>18</v>
      </c>
      <c r="N21" s="244">
        <v>1409.9463966454568</v>
      </c>
      <c r="O21" s="244">
        <v>1247.1161582660106</v>
      </c>
      <c r="P21" s="240"/>
      <c r="Q21" s="246">
        <v>-0.1154868289793511</v>
      </c>
      <c r="R21" s="240"/>
      <c r="S21" s="244">
        <v>1354.119263791406</v>
      </c>
      <c r="T21" s="244">
        <v>1599.6107245766211</v>
      </c>
      <c r="U21" s="240"/>
      <c r="V21" s="246">
        <v>4.2967002555504452E-2</v>
      </c>
      <c r="X21" s="8" t="s">
        <v>18</v>
      </c>
      <c r="Y21" s="57">
        <f>Y18+Y19+Y20</f>
        <v>82.838412921459906</v>
      </c>
      <c r="Z21" s="57">
        <f>Z18+Z19+Z20</f>
        <v>-176.99297854670453</v>
      </c>
      <c r="AA21" s="17"/>
      <c r="AB21" s="59">
        <f t="shared" si="84"/>
        <v>-3.1366051364904068</v>
      </c>
      <c r="AC21" s="17"/>
      <c r="AD21" s="57">
        <f>AD18+AD19+AD20</f>
        <v>78.90022606083582</v>
      </c>
      <c r="AE21" s="57">
        <f>AE18+AE19+AE20</f>
        <v>349.62373956608212</v>
      </c>
      <c r="AF21" s="17"/>
      <c r="AG21" s="59">
        <f t="shared" si="14"/>
        <v>0.61605590817455047</v>
      </c>
      <c r="AI21" s="8" t="s">
        <v>18</v>
      </c>
      <c r="AJ21" s="57">
        <f>AJ18+AJ19+AJ20</f>
        <v>-417.20453349340738</v>
      </c>
      <c r="AK21" s="57">
        <f>AK18+AK19+AK20</f>
        <v>-422.04652610470259</v>
      </c>
      <c r="AL21" s="17"/>
      <c r="AM21" s="59">
        <f t="shared" si="85"/>
        <v>1.1605800566814128E-2</v>
      </c>
      <c r="AN21" s="17"/>
      <c r="AO21" s="57">
        <f>AO18+AO19+AO20</f>
        <v>-390.62032070698325</v>
      </c>
      <c r="AP21" s="57">
        <f>AP18+AP19+AP20</f>
        <v>-386.72363700879714</v>
      </c>
      <c r="AQ21" s="17"/>
      <c r="AR21" s="100">
        <f t="shared" si="16"/>
        <v>-2.497167386215382E-2</v>
      </c>
      <c r="AS21" s="105"/>
      <c r="AT21" s="101" t="s">
        <v>18</v>
      </c>
      <c r="AU21" s="57">
        <f>AU18+AU19+AU20</f>
        <v>-103.92025645447086</v>
      </c>
      <c r="AV21" s="57">
        <f>AV18+AV19+AV20</f>
        <v>-142.4001859351437</v>
      </c>
      <c r="AW21" s="17"/>
      <c r="AX21" s="59">
        <f t="shared" si="86"/>
        <v>0.37028324210815927</v>
      </c>
      <c r="AY21" s="17"/>
      <c r="AZ21" s="57">
        <f>AZ18+AZ19+AZ20</f>
        <v>-137.52669151630576</v>
      </c>
      <c r="BA21" s="57">
        <f>BA18+BA19+BA20</f>
        <v>-145.08920893667434</v>
      </c>
      <c r="BB21" s="17"/>
      <c r="BC21" s="100">
        <f t="shared" si="87"/>
        <v>0.11766495688900114</v>
      </c>
      <c r="BD21" s="105"/>
      <c r="BE21" s="101" t="s">
        <v>18</v>
      </c>
      <c r="BF21" s="57">
        <f>BF18+BF19+BF20</f>
        <v>-313.28427703893652</v>
      </c>
      <c r="BG21" s="57">
        <f>BG18+BG19+BG20</f>
        <v>-279.64634016955887</v>
      </c>
      <c r="BH21" s="17"/>
      <c r="BI21" s="59">
        <f t="shared" si="88"/>
        <v>-0.1073719281009336</v>
      </c>
      <c r="BJ21" s="17"/>
      <c r="BK21" s="57">
        <f>BK18+BK19+BK20</f>
        <v>-253.0936291906774</v>
      </c>
      <c r="BL21" s="57">
        <f>BL18+BL19+BL20</f>
        <v>-241.63442807212277</v>
      </c>
      <c r="BM21" s="17"/>
      <c r="BN21" s="100">
        <f t="shared" si="89"/>
        <v>-8.2921023126596549E-2</v>
      </c>
      <c r="BP21" s="8" t="s">
        <v>18</v>
      </c>
      <c r="BQ21" s="57">
        <f>BQ18+BQ19+BQ20</f>
        <v>500.0429464148674</v>
      </c>
      <c r="BR21" s="57">
        <f>BR18+BR19+BR20</f>
        <v>245.05354755799792</v>
      </c>
      <c r="BS21" s="17"/>
      <c r="BT21" s="157">
        <f t="shared" si="90"/>
        <v>-0.50993499795378394</v>
      </c>
      <c r="BU21" s="17"/>
      <c r="BV21" s="57">
        <f>BV18+BV19+BV20</f>
        <v>469.52054676781927</v>
      </c>
      <c r="BW21" s="57">
        <f>BW18+BW19+BW20</f>
        <v>736.34737657487972</v>
      </c>
      <c r="BX21" s="17"/>
      <c r="BY21" s="157">
        <f t="shared" si="24"/>
        <v>0.13769315757793987</v>
      </c>
      <c r="CA21" s="8" t="s">
        <v>18</v>
      </c>
      <c r="CB21" s="57">
        <f>CB18+CB19+CB20</f>
        <v>-91.743741187049821</v>
      </c>
      <c r="CC21" s="57">
        <f>CC18+CC19+CC20</f>
        <v>68.701707556869479</v>
      </c>
      <c r="CD21" s="17"/>
      <c r="CE21" s="157">
        <f t="shared" si="91"/>
        <v>-1.7488435360053438</v>
      </c>
      <c r="CF21" s="17"/>
      <c r="CG21" s="57">
        <f>CG18+CG19+CG20</f>
        <v>353.55480387176596</v>
      </c>
      <c r="CH21" s="57">
        <f>CH18+CH19+CH20</f>
        <v>624.07821851211304</v>
      </c>
      <c r="CI21" s="17"/>
      <c r="CJ21" s="157">
        <f t="shared" si="28"/>
        <v>-2.8947599354006286</v>
      </c>
      <c r="CL21" s="8" t="s">
        <v>18</v>
      </c>
      <c r="CM21" s="57">
        <f>CM18+CM19+CM20</f>
        <v>-469.66157404565058</v>
      </c>
      <c r="CN21" s="57">
        <f>CN18+CN19+CN20</f>
        <v>-316.58914097367665</v>
      </c>
      <c r="CO21" s="17"/>
      <c r="CP21" s="157">
        <f t="shared" si="92"/>
        <v>-0.32592070872098949</v>
      </c>
      <c r="CQ21" s="17"/>
      <c r="CR21" s="57">
        <f>CR18+CR19+CR20</f>
        <v>-150.31636172879959</v>
      </c>
      <c r="CS21" s="57">
        <f>CS18+CS19+CS20</f>
        <v>-16.699474125145095</v>
      </c>
      <c r="CT21" s="17"/>
      <c r="CU21" s="157">
        <f t="shared" si="30"/>
        <v>-0.6711691245924305</v>
      </c>
      <c r="CW21" s="8" t="s">
        <v>18</v>
      </c>
      <c r="CX21" s="57">
        <f>CX18+CX19+CX20</f>
        <v>377.91783285860095</v>
      </c>
      <c r="CY21" s="57">
        <f>CY18+CY19+CY20</f>
        <v>385.29084853054616</v>
      </c>
      <c r="CZ21" s="17"/>
      <c r="DA21" s="157">
        <f t="shared" si="93"/>
        <v>1.9509573327554104E-2</v>
      </c>
      <c r="DB21" s="17"/>
      <c r="DC21" s="57">
        <f>DC18+DC19+DC20</f>
        <v>503.87116560056518</v>
      </c>
      <c r="DD21" s="57">
        <f>DD18+DD19+DD20</f>
        <v>640.77769263725827</v>
      </c>
      <c r="DE21" s="17"/>
      <c r="DF21" s="157">
        <f t="shared" si="32"/>
        <v>0.19244035799461634</v>
      </c>
      <c r="DH21" s="8" t="s">
        <v>18</v>
      </c>
      <c r="DI21" s="57">
        <f>DI18+DI19+DI20</f>
        <v>178.17630420588264</v>
      </c>
      <c r="DJ21" s="57">
        <f>DJ18+DJ19+DJ20</f>
        <v>176.32528527075294</v>
      </c>
      <c r="DK21" s="17"/>
      <c r="DL21" s="157">
        <f t="shared" si="94"/>
        <v>-1.0388693060951864E-2</v>
      </c>
      <c r="DM21" s="17"/>
      <c r="DN21" s="57">
        <f>DN18+DN19+DN20</f>
        <v>197.07736367387565</v>
      </c>
      <c r="DO21" s="57">
        <f>DO18+DO19+DO20</f>
        <v>210.34421351897032</v>
      </c>
      <c r="DP21" s="17"/>
      <c r="DQ21" s="157">
        <f t="shared" si="34"/>
        <v>5.6882907448006614E-2</v>
      </c>
      <c r="DS21" s="8" t="s">
        <v>18</v>
      </c>
      <c r="DT21" s="57">
        <f>DT18+DT19+DT20</f>
        <v>-17.175268925742145</v>
      </c>
      <c r="DU21" s="57">
        <f>DU18+DU19+DU20</f>
        <v>-11.620831396396776</v>
      </c>
      <c r="DV21" s="17"/>
      <c r="DW21" s="157">
        <f t="shared" si="95"/>
        <v>-0.32339741248653325</v>
      </c>
      <c r="DX21" s="17"/>
      <c r="DY21" s="57">
        <f>DY18+DY19+DY20</f>
        <v>-5.0064778918479416</v>
      </c>
      <c r="DZ21" s="57">
        <f>DZ18+DZ19+DZ20</f>
        <v>2.0482663994928263</v>
      </c>
      <c r="EA21" s="17"/>
      <c r="EB21" s="157">
        <f t="shared" si="36"/>
        <v>-1.4922219368106406</v>
      </c>
      <c r="ED21" s="8" t="s">
        <v>18</v>
      </c>
      <c r="EE21" s="57">
        <f>EE18+EE19+EE20</f>
        <v>30.040797741756393</v>
      </c>
      <c r="EF21" s="57">
        <f>EF18+EF19+EF20</f>
        <v>30.302811673747328</v>
      </c>
      <c r="EG21" s="17"/>
      <c r="EH21" s="157">
        <f t="shared" si="96"/>
        <v>8.7219365558571359E-3</v>
      </c>
      <c r="EI21" s="17"/>
      <c r="EJ21" s="57">
        <f>EJ18+EJ19+EJ20</f>
        <v>4.855753319533278</v>
      </c>
      <c r="EK21" s="57">
        <f>EK18+EK19+EK20</f>
        <v>-9.661442175842808</v>
      </c>
      <c r="EL21" s="17"/>
      <c r="EM21" s="157">
        <f t="shared" si="38"/>
        <v>-1.6851360705600515</v>
      </c>
      <c r="EO21" s="8" t="s">
        <v>18</v>
      </c>
      <c r="EP21" s="57">
        <f>EP18+EP19+EP20</f>
        <v>400.74485458002027</v>
      </c>
      <c r="EQ21" s="57">
        <f>EQ18+EQ19+EQ20</f>
        <v>-18.65542554697516</v>
      </c>
      <c r="ER21" s="17"/>
      <c r="ES21" s="157">
        <f t="shared" si="97"/>
        <v>-1.046551877918747</v>
      </c>
      <c r="ET21" s="17"/>
      <c r="EU21" s="57">
        <f>EU18+EU19+EU20</f>
        <v>-80.960896205508163</v>
      </c>
      <c r="EV21" s="57">
        <f>EV18+EV19+EV20</f>
        <v>-90.461879679853467</v>
      </c>
      <c r="EW21" s="17"/>
      <c r="EX21" s="157">
        <f t="shared" si="40"/>
        <v>-1.6088811804365548</v>
      </c>
      <c r="EZ21" s="8" t="s">
        <v>18</v>
      </c>
      <c r="FA21" s="57">
        <f>FA18+FA19+FA20</f>
        <v>-101.82195018574311</v>
      </c>
      <c r="FB21" s="57">
        <f>FB18+FB19+FB20</f>
        <v>-297.62940837169288</v>
      </c>
      <c r="FC21" s="17"/>
      <c r="FD21" s="157">
        <f t="shared" si="98"/>
        <v>1.9230377912499099</v>
      </c>
      <c r="FE21" s="17"/>
      <c r="FF21" s="57">
        <f>FF18+FF19+FF20</f>
        <v>-391.95685876311057</v>
      </c>
      <c r="FG21" s="57">
        <f>FG18+FG19+FG20</f>
        <v>-419.71536386057198</v>
      </c>
      <c r="FH21" s="17"/>
      <c r="FI21" s="157">
        <f t="shared" si="42"/>
        <v>0.60338500881389034</v>
      </c>
      <c r="FK21" s="8" t="s">
        <v>18</v>
      </c>
      <c r="FL21" s="57">
        <f>FL18+FL19+FL20</f>
        <v>502.56680476576344</v>
      </c>
      <c r="FM21" s="57">
        <f>FM18+FM19+FM20</f>
        <v>278.97398282471772</v>
      </c>
      <c r="FN21" s="17"/>
      <c r="FO21" s="157">
        <f t="shared" si="99"/>
        <v>-0.44490169231383669</v>
      </c>
      <c r="FP21" s="17"/>
      <c r="FQ21" s="57">
        <f>FQ18+FQ19+FQ20</f>
        <v>310.99596255760235</v>
      </c>
      <c r="FR21" s="57">
        <f>FR18+FR19+FR20</f>
        <v>329.25348418071854</v>
      </c>
      <c r="FS21" s="17"/>
      <c r="FT21" s="157">
        <f t="shared" si="44"/>
        <v>-0.13148192727079921</v>
      </c>
    </row>
    <row r="22" spans="2:176" ht="16.8" thickTop="1" thickBot="1" x14ac:dyDescent="0.35">
      <c r="B22" s="11" t="s">
        <v>19</v>
      </c>
      <c r="C22" s="58">
        <f>N22+Y22</f>
        <v>-477.27367509823699</v>
      </c>
      <c r="D22" s="58">
        <f>O22+Z22</f>
        <v>-391.84142962280993</v>
      </c>
      <c r="F22" s="60">
        <f>IFERROR((D22-C22)/C22,0)</f>
        <v>-0.1790005398010745</v>
      </c>
      <c r="H22" s="58">
        <f>S22+AD22</f>
        <v>-548.99135464694371</v>
      </c>
      <c r="I22" s="58">
        <f>T22+AE22</f>
        <v>-759.12173153790263</v>
      </c>
      <c r="K22" s="63">
        <f t="shared" si="12"/>
        <v>0.16729685253873994</v>
      </c>
      <c r="M22" s="11" t="s">
        <v>19</v>
      </c>
      <c r="N22" s="245">
        <v>-497.51021411500631</v>
      </c>
      <c r="O22" s="245">
        <v>-467.66855934975376</v>
      </c>
      <c r="P22" s="237"/>
      <c r="Q22" s="247">
        <v>-5.9981994175408497E-2</v>
      </c>
      <c r="R22" s="237"/>
      <c r="S22" s="245">
        <v>-507.79472392177729</v>
      </c>
      <c r="T22" s="245">
        <v>-599.85402171623286</v>
      </c>
      <c r="U22" s="237"/>
      <c r="V22" s="249">
        <v>6.434197788698337E-2</v>
      </c>
      <c r="X22" s="11" t="s">
        <v>19</v>
      </c>
      <c r="Y22" s="58">
        <f>AJ22+BQ22</f>
        <v>20.236539016769299</v>
      </c>
      <c r="Z22" s="58">
        <f>AK22+BR22</f>
        <v>75.827129726943852</v>
      </c>
      <c r="AB22" s="60">
        <f t="shared" si="84"/>
        <v>2.7470404234690826</v>
      </c>
      <c r="AD22" s="58">
        <f>AO22+BV22</f>
        <v>-41.196630725166429</v>
      </c>
      <c r="AE22" s="58">
        <f>AP22+BW22</f>
        <v>-159.26770982166983</v>
      </c>
      <c r="AG22" s="63">
        <f t="shared" si="14"/>
        <v>-2.9891330444976107</v>
      </c>
      <c r="AI22" s="11" t="s">
        <v>19</v>
      </c>
      <c r="AJ22" s="58">
        <f>SUM([3]AC!$E$400:$H$400)/1000</f>
        <v>103.42620308971033</v>
      </c>
      <c r="AK22" s="58">
        <f>[3]AC!$I$400/1000</f>
        <v>91.17300989751503</v>
      </c>
      <c r="AM22" s="60">
        <f t="shared" si="85"/>
        <v>-0.1184728127510111</v>
      </c>
      <c r="AO22" s="58">
        <f>[3]AC!$J$400/1000</f>
        <v>79.44325016542038</v>
      </c>
      <c r="AP22" s="58">
        <f>[3]AC!$K$400/1000</f>
        <v>64.682436796202083</v>
      </c>
      <c r="AR22" s="63">
        <f t="shared" si="16"/>
        <v>-0.14483103701188393</v>
      </c>
      <c r="AS22" s="104"/>
      <c r="AT22" s="11" t="s">
        <v>19</v>
      </c>
      <c r="AU22" s="55">
        <f>SUM([4]AC!$E$400:$H$400)/1000</f>
        <v>36.372051381852749</v>
      </c>
      <c r="AV22" s="55">
        <f>[4]AC!$I$400/1000</f>
        <v>49.840065077300267</v>
      </c>
      <c r="AW22" s="15"/>
      <c r="AX22" s="60">
        <f t="shared" si="86"/>
        <v>0.37028468793396585</v>
      </c>
      <c r="AY22" s="15"/>
      <c r="AZ22" s="55">
        <f>[4]AC!$J$400/1000</f>
        <v>48.13434203070706</v>
      </c>
      <c r="BA22" s="55">
        <f>[4]AC!$K$400/1000</f>
        <v>50.781223127835979</v>
      </c>
      <c r="BC22" s="63">
        <f t="shared" si="87"/>
        <v>0.11766534998249178</v>
      </c>
      <c r="BD22" s="104"/>
      <c r="BE22" s="11" t="s">
        <v>19</v>
      </c>
      <c r="BF22" s="55">
        <f>AJ22-AU22</f>
        <v>67.054151707857585</v>
      </c>
      <c r="BG22" s="55">
        <f>AK22-AV22</f>
        <v>41.332944820214763</v>
      </c>
      <c r="BH22" s="15"/>
      <c r="BI22" s="60">
        <f t="shared" si="88"/>
        <v>-0.3835885807594035</v>
      </c>
      <c r="BJ22" s="15"/>
      <c r="BK22" s="55">
        <f t="shared" ref="BK22" si="112">AO22-AZ22</f>
        <v>31.30890813471332</v>
      </c>
      <c r="BL22" s="55">
        <f t="shared" ref="BL22" si="113">AP22-BA22</f>
        <v>13.901213668366104</v>
      </c>
      <c r="BN22" s="63">
        <f t="shared" si="89"/>
        <v>-0.40815359311999233</v>
      </c>
      <c r="BP22" s="11" t="s">
        <v>19</v>
      </c>
      <c r="BQ22" s="62">
        <f>CB22+DI22+DT22+EE22+EP22</f>
        <v>-83.189664072941028</v>
      </c>
      <c r="BR22" s="62">
        <f>CC22+DJ22+DU22+EF22+EQ22</f>
        <v>-15.345880170571178</v>
      </c>
      <c r="BT22" s="155">
        <f t="shared" si="90"/>
        <v>-0.8155314083596269</v>
      </c>
      <c r="BV22" s="62">
        <f>CG22+DN22+DY22+EJ22+EU22</f>
        <v>-120.63988089058681</v>
      </c>
      <c r="BW22" s="62">
        <f>CH22+DO22+DZ22+EK22+EV22</f>
        <v>-223.95014661787189</v>
      </c>
      <c r="BY22" s="162">
        <f t="shared" si="24"/>
        <v>0.39110739783182513</v>
      </c>
      <c r="CA22" s="11" t="s">
        <v>19</v>
      </c>
      <c r="CB22" s="62">
        <f t="shared" ref="CB22" si="114">CM22+CX22</f>
        <v>32.871563572037815</v>
      </c>
      <c r="CC22" s="62">
        <f t="shared" ref="CC22" si="115">CN22+CY22</f>
        <v>-23.59432142256702</v>
      </c>
      <c r="CE22" s="155">
        <f t="shared" si="91"/>
        <v>-1.7177730189456981</v>
      </c>
      <c r="CG22" s="62">
        <f t="shared" ref="CG22" si="116">CR22+DC22</f>
        <v>-123.29695660482096</v>
      </c>
      <c r="CH22" s="62">
        <f t="shared" ref="CH22" si="117">CS22+DD22</f>
        <v>-217.98432474514334</v>
      </c>
      <c r="CJ22" s="162">
        <f t="shared" si="28"/>
        <v>-2.8787470028974775</v>
      </c>
      <c r="CL22" s="11" t="s">
        <v>19</v>
      </c>
      <c r="CM22" s="58">
        <f>SUM([5]AN01010300!$E$400:$H$400)/1000</f>
        <v>164.43684539198316</v>
      </c>
      <c r="CN22" s="58">
        <f>[5]AN01010300!$I$400/1000</f>
        <v>111.14656465224311</v>
      </c>
      <c r="CP22" s="155">
        <f t="shared" si="92"/>
        <v>-0.32407749378010214</v>
      </c>
      <c r="CR22" s="58">
        <f>[5]AN01010300!$J$400/1000</f>
        <v>52.948036181545952</v>
      </c>
      <c r="CS22" s="58">
        <f>[5]AN01010300!$K$400/1000</f>
        <v>6.1789781132274433</v>
      </c>
      <c r="CU22" s="162">
        <f t="shared" si="30"/>
        <v>-0.66505576531812227</v>
      </c>
      <c r="CW22" s="11" t="s">
        <v>19</v>
      </c>
      <c r="CX22" s="58">
        <f>SUM('[5]BC1010:BC1015'!$E$400:$H$400)/1000</f>
        <v>-131.56528181994534</v>
      </c>
      <c r="CY22" s="58">
        <f>SUM('[5]BC1010:BC1015'!$I$400)/1000</f>
        <v>-134.74088607481013</v>
      </c>
      <c r="DA22" s="155">
        <f t="shared" si="93"/>
        <v>2.4137099171883288E-2</v>
      </c>
      <c r="DC22" s="58">
        <f>SUM('[5]BC1010:BC1015'!$J$400)/1000</f>
        <v>-176.24499278636691</v>
      </c>
      <c r="DD22" s="58">
        <f>SUM('[5]BC1010:BC1015'!$K$400)/1000</f>
        <v>-224.16330285837077</v>
      </c>
      <c r="DF22" s="162">
        <f t="shared" si="32"/>
        <v>0.19437601151423789</v>
      </c>
      <c r="DH22" s="11" t="s">
        <v>19</v>
      </c>
      <c r="DI22" s="58">
        <f>SUM([5]AN02020100:AN02020150!$E$400:$H$400)/1000</f>
        <v>-32.785450553806314</v>
      </c>
      <c r="DJ22" s="58">
        <f>SUM([5]AN02020100:AN02020150!$I$400)/1000</f>
        <v>-34.898289844763525</v>
      </c>
      <c r="DL22" s="155">
        <f t="shared" si="94"/>
        <v>6.4444418340071141E-2</v>
      </c>
      <c r="DN22" s="58">
        <f>SUM([5]AN02020100:AN02020150!$J$400)/1000</f>
        <v>-54.528034545856514</v>
      </c>
      <c r="DO22" s="58">
        <f>SUM([5]AN02020100:AN02020150!$K$400)/1000</f>
        <v>-54.619620769439585</v>
      </c>
      <c r="DQ22" s="162">
        <f t="shared" si="34"/>
        <v>0.18546619677044895</v>
      </c>
      <c r="DS22" s="11" t="s">
        <v>19</v>
      </c>
      <c r="DT22" s="58">
        <f>SUM([5]BC1020!$E$400:$H$400)/1000</f>
        <v>6.0178730567210934</v>
      </c>
      <c r="DU22" s="58">
        <f>[5]BC1020!$I$400/1000</f>
        <v>4.0930509422337984</v>
      </c>
      <c r="DW22" s="155">
        <f t="shared" si="95"/>
        <v>-0.31985090020095175</v>
      </c>
      <c r="DY22" s="58">
        <f>[5]BC1020!$J$400/1000</f>
        <v>1.777795947681714</v>
      </c>
      <c r="DZ22" s="58">
        <f>[5]BC1020!$K$400/1000</f>
        <v>-0.69160276028636214</v>
      </c>
      <c r="EB22" s="162">
        <f t="shared" si="36"/>
        <v>-1.4861883691372002</v>
      </c>
      <c r="ED22" s="11" t="s">
        <v>19</v>
      </c>
      <c r="EE22" s="58">
        <f>SUM([5]FC!$E$400:$H$400)/1000</f>
        <v>-10.514279226114734</v>
      </c>
      <c r="EF22" s="58">
        <f>[5]FC!$I$400/1000</f>
        <v>-10.605984085811551</v>
      </c>
      <c r="EH22" s="155">
        <f t="shared" si="96"/>
        <v>8.721934972874398E-3</v>
      </c>
      <c r="EJ22" s="58">
        <f>[5]FC!$J$400/1000</f>
        <v>-1.6995136618366204</v>
      </c>
      <c r="EK22" s="58">
        <f>[5]FC!$K$400/1000</f>
        <v>3.3815047615449831</v>
      </c>
      <c r="EM22" s="162">
        <f t="shared" si="38"/>
        <v>-1.6851360702016582</v>
      </c>
      <c r="EO22" s="11" t="s">
        <v>19</v>
      </c>
      <c r="EP22" s="58">
        <f>SUM([5]AC!$E$400:$H$400)/1000</f>
        <v>-78.779370921778892</v>
      </c>
      <c r="EQ22" s="58">
        <f>[5]AC!$I$400/1000</f>
        <v>49.659664240337122</v>
      </c>
      <c r="ES22" s="155">
        <f t="shared" si="97"/>
        <v>-1.6303638079268856</v>
      </c>
      <c r="EU22" s="58">
        <f>[5]AC!$J$400/1000</f>
        <v>57.106827974245576</v>
      </c>
      <c r="EV22" s="58">
        <f>[5]AC!$K$400/1000</f>
        <v>45.963896895452365</v>
      </c>
      <c r="EX22" s="162">
        <f t="shared" si="40"/>
        <v>-1.8356057973781827</v>
      </c>
      <c r="EZ22" s="11" t="s">
        <v>19</v>
      </c>
      <c r="FA22" s="58">
        <f>SUM([6]AC!$E$400:$H$400)/1000</f>
        <v>35.196090801510096</v>
      </c>
      <c r="FB22" s="58">
        <f>[6]AC!$I$400/1000</f>
        <v>104.17029293009251</v>
      </c>
      <c r="FD22" s="155">
        <f t="shared" si="98"/>
        <v>1.9597120179501033</v>
      </c>
      <c r="FF22" s="58">
        <f>[6]AC!$J$400/1000</f>
        <v>137.18490056708876</v>
      </c>
      <c r="FG22" s="58">
        <f>[6]AC!$K$400/1000</f>
        <v>146.90037735120029</v>
      </c>
      <c r="FI22" s="162">
        <f t="shared" si="42"/>
        <v>0.61006284236448827</v>
      </c>
      <c r="FK22" s="11" t="s">
        <v>19</v>
      </c>
      <c r="FL22" s="55">
        <f>EP22-FA22</f>
        <v>-113.97546172328899</v>
      </c>
      <c r="FM22" s="55">
        <f>EQ22-FB22</f>
        <v>-54.510628689755393</v>
      </c>
      <c r="FN22" s="15"/>
      <c r="FO22" s="155">
        <f t="shared" si="99"/>
        <v>-0.52173364454449889</v>
      </c>
      <c r="FP22" s="15"/>
      <c r="FQ22" s="55">
        <f>EU22-FF22</f>
        <v>-80.078072592843185</v>
      </c>
      <c r="FR22" s="55">
        <f>EV22-FG22</f>
        <v>-100.93648045574793</v>
      </c>
      <c r="FT22" s="162">
        <f t="shared" si="44"/>
        <v>-3.9688199297397531E-2</v>
      </c>
    </row>
    <row r="23" spans="2:176" ht="17.25" customHeight="1" thickTop="1" x14ac:dyDescent="0.3">
      <c r="B23" s="106" t="s">
        <v>20</v>
      </c>
      <c r="C23" s="107">
        <f>C21+C22</f>
        <v>1015.5111344686788</v>
      </c>
      <c r="D23" s="107">
        <f>D21+D22</f>
        <v>678.28175009649453</v>
      </c>
      <c r="E23" s="17"/>
      <c r="F23" s="108">
        <f t="shared" si="83"/>
        <v>-0.33207847056115702</v>
      </c>
      <c r="G23" s="17"/>
      <c r="H23" s="107">
        <f>H21+H22</f>
        <v>884.02813520529901</v>
      </c>
      <c r="I23" s="107">
        <f>I21+I22</f>
        <v>1190.1127326048004</v>
      </c>
      <c r="J23" s="17"/>
      <c r="K23" s="108">
        <f t="shared" si="12"/>
        <v>5.4308733371949192E-2</v>
      </c>
      <c r="M23" s="106" t="s">
        <v>20</v>
      </c>
      <c r="N23" s="253">
        <v>912.43618253045054</v>
      </c>
      <c r="O23" s="253">
        <v>779.44759891625688</v>
      </c>
      <c r="P23" s="240"/>
      <c r="Q23" s="254">
        <v>-0.14575110693810683</v>
      </c>
      <c r="R23" s="240"/>
      <c r="S23" s="253">
        <v>846.32453986962867</v>
      </c>
      <c r="T23" s="253">
        <v>999.75670286038826</v>
      </c>
      <c r="U23" s="240"/>
      <c r="V23" s="254">
        <v>3.0933396485391285E-2</v>
      </c>
      <c r="X23" s="106" t="s">
        <v>20</v>
      </c>
      <c r="Y23" s="107">
        <f>Y21+Y22</f>
        <v>103.0749519382292</v>
      </c>
      <c r="Z23" s="107">
        <f>Z21+Z22</f>
        <v>-101.16584881976068</v>
      </c>
      <c r="AA23" s="17"/>
      <c r="AB23" s="108">
        <f t="shared" si="84"/>
        <v>-1.9814784961567324</v>
      </c>
      <c r="AC23" s="17"/>
      <c r="AD23" s="107">
        <f>AD21+AD22</f>
        <v>37.703595335669391</v>
      </c>
      <c r="AE23" s="107">
        <f>AE21+AE22</f>
        <v>190.3560297444123</v>
      </c>
      <c r="AF23" s="17"/>
      <c r="AG23" s="108">
        <f t="shared" si="14"/>
        <v>0.22688681445910763</v>
      </c>
      <c r="AI23" s="106" t="s">
        <v>20</v>
      </c>
      <c r="AJ23" s="107">
        <f>AJ21+AJ22</f>
        <v>-313.77833040369705</v>
      </c>
      <c r="AK23" s="107">
        <f>AK21+AK22</f>
        <v>-330.87351620718755</v>
      </c>
      <c r="AL23" s="17"/>
      <c r="AM23" s="108">
        <f t="shared" si="85"/>
        <v>5.4481728491245336E-2</v>
      </c>
      <c r="AN23" s="17"/>
      <c r="AO23" s="107">
        <f>AO21+AO22</f>
        <v>-311.1770705415629</v>
      </c>
      <c r="AP23" s="107">
        <f>AP21+AP22</f>
        <v>-322.04120021259507</v>
      </c>
      <c r="AQ23" s="17"/>
      <c r="AR23" s="109">
        <f t="shared" si="16"/>
        <v>8.7018784086954071E-3</v>
      </c>
      <c r="AS23" s="105"/>
      <c r="AT23" s="110" t="s">
        <v>20</v>
      </c>
      <c r="AU23" s="107">
        <f>AU21+AU22</f>
        <v>-67.548205072618117</v>
      </c>
      <c r="AV23" s="107">
        <f>AV21+AV22</f>
        <v>-92.56012085784343</v>
      </c>
      <c r="AW23" s="17"/>
      <c r="AX23" s="108">
        <f t="shared" si="86"/>
        <v>0.37028246358783473</v>
      </c>
      <c r="AY23" s="17"/>
      <c r="AZ23" s="107">
        <f>AZ21+AZ22</f>
        <v>-89.3923494855987</v>
      </c>
      <c r="BA23" s="107">
        <f>BA21+BA22</f>
        <v>-94.307985808838367</v>
      </c>
      <c r="BB23" s="17"/>
      <c r="BC23" s="109">
        <f t="shared" si="87"/>
        <v>0.11766474522350423</v>
      </c>
      <c r="BD23" s="105"/>
      <c r="BE23" s="110" t="s">
        <v>20</v>
      </c>
      <c r="BF23" s="107">
        <f>BF21+BF22</f>
        <v>-246.23012533107894</v>
      </c>
      <c r="BG23" s="107">
        <f>BG21+BG22</f>
        <v>-238.31339534934409</v>
      </c>
      <c r="BH23" s="17"/>
      <c r="BI23" s="108">
        <f t="shared" si="88"/>
        <v>-3.2151752232144941E-2</v>
      </c>
      <c r="BJ23" s="17"/>
      <c r="BK23" s="107">
        <f>BK21+BK22</f>
        <v>-221.7847210559641</v>
      </c>
      <c r="BL23" s="107">
        <f>BL21+BL22</f>
        <v>-227.73321440375668</v>
      </c>
      <c r="BM23" s="17"/>
      <c r="BN23" s="109">
        <f t="shared" si="89"/>
        <v>-2.5694703772880079E-2</v>
      </c>
      <c r="BP23" s="106" t="s">
        <v>20</v>
      </c>
      <c r="BQ23" s="107">
        <f>BQ21+BQ22</f>
        <v>416.85328234192639</v>
      </c>
      <c r="BR23" s="107">
        <f>BR21+BR22</f>
        <v>229.70766738742674</v>
      </c>
      <c r="BS23" s="17"/>
      <c r="BT23" s="158">
        <f t="shared" si="90"/>
        <v>-0.44894840194875169</v>
      </c>
      <c r="BU23" s="17"/>
      <c r="BV23" s="107">
        <f>BV21+BV22</f>
        <v>348.88066587723245</v>
      </c>
      <c r="BW23" s="107">
        <f>BW21+BW22</f>
        <v>512.39722995700777</v>
      </c>
      <c r="BX23" s="17"/>
      <c r="BY23" s="158">
        <f t="shared" si="24"/>
        <v>7.1209747544833446E-2</v>
      </c>
      <c r="CA23" s="106" t="s">
        <v>20</v>
      </c>
      <c r="CB23" s="107">
        <f>CB21+CB22</f>
        <v>-58.872177615012006</v>
      </c>
      <c r="CC23" s="107">
        <f>CC21+CC22</f>
        <v>45.107386134302459</v>
      </c>
      <c r="CD23" s="17"/>
      <c r="CE23" s="158">
        <f t="shared" si="91"/>
        <v>-1.7661919086682532</v>
      </c>
      <c r="CF23" s="17"/>
      <c r="CG23" s="107">
        <f>CG21+CG22</f>
        <v>230.25784726694499</v>
      </c>
      <c r="CH23" s="107">
        <f>CH21+CH22</f>
        <v>406.0938937669697</v>
      </c>
      <c r="CI23" s="17"/>
      <c r="CJ23" s="158">
        <f t="shared" si="28"/>
        <v>-2.9035843238655419</v>
      </c>
      <c r="CL23" s="106" t="s">
        <v>20</v>
      </c>
      <c r="CM23" s="107">
        <f>CM21+CM22</f>
        <v>-305.2247286536674</v>
      </c>
      <c r="CN23" s="107">
        <f>CN21+CN22</f>
        <v>-205.44257632143353</v>
      </c>
      <c r="CO23" s="17"/>
      <c r="CP23" s="158">
        <f t="shared" si="92"/>
        <v>-0.32691372279162462</v>
      </c>
      <c r="CQ23" s="17"/>
      <c r="CR23" s="107">
        <f>CR21+CR22</f>
        <v>-97.368325547253647</v>
      </c>
      <c r="CS23" s="107">
        <f>CS21+CS22</f>
        <v>-10.52049601191765</v>
      </c>
      <c r="CT23" s="17"/>
      <c r="CU23" s="158">
        <f t="shared" si="30"/>
        <v>-0.67455907429160245</v>
      </c>
      <c r="CW23" s="106" t="s">
        <v>20</v>
      </c>
      <c r="CX23" s="107">
        <f>CX21+CX22</f>
        <v>246.3525510386556</v>
      </c>
      <c r="CY23" s="107">
        <f>CY21+CY22</f>
        <v>250.54996245573602</v>
      </c>
      <c r="CZ23" s="17"/>
      <c r="DA23" s="158">
        <f t="shared" si="93"/>
        <v>1.7038229965078762E-2</v>
      </c>
      <c r="DB23" s="17"/>
      <c r="DC23" s="107">
        <f>DC21+DC22</f>
        <v>327.6261728141983</v>
      </c>
      <c r="DD23" s="107">
        <f>DD21+DD22</f>
        <v>416.61438977888747</v>
      </c>
      <c r="DE23" s="17"/>
      <c r="DF23" s="158">
        <f t="shared" si="32"/>
        <v>0.19140403738738065</v>
      </c>
      <c r="DH23" s="106" t="s">
        <v>20</v>
      </c>
      <c r="DI23" s="107">
        <f>DI21+DI22</f>
        <v>145.39085365207632</v>
      </c>
      <c r="DJ23" s="107">
        <f>DJ21+DJ22</f>
        <v>141.42699542598942</v>
      </c>
      <c r="DK23" s="17"/>
      <c r="DL23" s="158">
        <f t="shared" si="94"/>
        <v>-2.7263463460861871E-2</v>
      </c>
      <c r="DM23" s="17"/>
      <c r="DN23" s="107">
        <f>DN21+DN22</f>
        <v>142.54932912801914</v>
      </c>
      <c r="DO23" s="107">
        <f>DO21+DO22</f>
        <v>155.72459274953073</v>
      </c>
      <c r="DP23" s="17"/>
      <c r="DQ23" s="158">
        <f t="shared" si="34"/>
        <v>2.3151721006954951E-2</v>
      </c>
      <c r="DS23" s="106" t="s">
        <v>20</v>
      </c>
      <c r="DT23" s="107">
        <f>DT21+DT22</f>
        <v>-11.157395869021052</v>
      </c>
      <c r="DU23" s="107">
        <f>DU21+DU22</f>
        <v>-7.5277804541629774</v>
      </c>
      <c r="DV23" s="17"/>
      <c r="DW23" s="158">
        <f t="shared" si="95"/>
        <v>-0.3253102657167381</v>
      </c>
      <c r="DX23" s="17"/>
      <c r="DY23" s="107">
        <f>DY21+DY22</f>
        <v>-3.2286819441662278</v>
      </c>
      <c r="DZ23" s="107">
        <f>DZ21+DZ22</f>
        <v>1.3566636392064642</v>
      </c>
      <c r="EA23" s="17"/>
      <c r="EB23" s="158">
        <f t="shared" si="36"/>
        <v>-1.495415717700642</v>
      </c>
      <c r="ED23" s="106" t="s">
        <v>20</v>
      </c>
      <c r="EE23" s="107">
        <f>EE21+EE22</f>
        <v>19.526518515641659</v>
      </c>
      <c r="EF23" s="107">
        <f>EF21+EF22</f>
        <v>19.696827587935779</v>
      </c>
      <c r="EG23" s="17"/>
      <c r="EH23" s="158">
        <f t="shared" si="96"/>
        <v>8.721937408232551E-3</v>
      </c>
      <c r="EI23" s="17"/>
      <c r="EJ23" s="107">
        <f>EJ21+EJ22</f>
        <v>3.1562396576966574</v>
      </c>
      <c r="EK23" s="107">
        <f>EK21+EK22</f>
        <v>-6.2799374142978248</v>
      </c>
      <c r="EL23" s="17"/>
      <c r="EM23" s="158">
        <f t="shared" si="38"/>
        <v>-1.6851360707530327</v>
      </c>
      <c r="EO23" s="106" t="s">
        <v>20</v>
      </c>
      <c r="EP23" s="107">
        <f>EP21+EP22</f>
        <v>321.9654836582414</v>
      </c>
      <c r="EQ23" s="107">
        <f>EQ21+EQ22</f>
        <v>31.004238693361962</v>
      </c>
      <c r="ER23" s="17"/>
      <c r="ES23" s="158">
        <f t="shared" si="97"/>
        <v>-0.9037032220314889</v>
      </c>
      <c r="ET23" s="17"/>
      <c r="EU23" s="107">
        <f>EU21+EU22</f>
        <v>-23.854068231262588</v>
      </c>
      <c r="EV23" s="107">
        <f>EV21+EV22</f>
        <v>-44.497982784401103</v>
      </c>
      <c r="EW23" s="17"/>
      <c r="EX23" s="158">
        <f t="shared" si="40"/>
        <v>-1.5170235627580628</v>
      </c>
      <c r="EZ23" s="106" t="s">
        <v>20</v>
      </c>
      <c r="FA23" s="107">
        <f>FA21+FA22</f>
        <v>-66.62585938423301</v>
      </c>
      <c r="FB23" s="107">
        <f>FB21+FB22</f>
        <v>-193.45911544160037</v>
      </c>
      <c r="FC23" s="17"/>
      <c r="FD23" s="158">
        <f t="shared" si="98"/>
        <v>1.9036640912339573</v>
      </c>
      <c r="FE23" s="17"/>
      <c r="FF23" s="107">
        <f>FF21+FF22</f>
        <v>-254.77195819602181</v>
      </c>
      <c r="FG23" s="107">
        <f>FG21+FG22</f>
        <v>-272.81498650937169</v>
      </c>
      <c r="FH23" s="17"/>
      <c r="FI23" s="158">
        <f t="shared" si="42"/>
        <v>0.59983477726732759</v>
      </c>
      <c r="FK23" s="106" t="s">
        <v>20</v>
      </c>
      <c r="FL23" s="107">
        <f>FL21+FL22</f>
        <v>388.59134304247448</v>
      </c>
      <c r="FM23" s="107">
        <f>FM21+FM22</f>
        <v>224.46335413496234</v>
      </c>
      <c r="FN23" s="17"/>
      <c r="FO23" s="158">
        <f t="shared" si="99"/>
        <v>-0.42236656025961017</v>
      </c>
      <c r="FP23" s="17"/>
      <c r="FQ23" s="107">
        <f>FQ21+FQ22</f>
        <v>230.91788996475918</v>
      </c>
      <c r="FR23" s="107">
        <f>FR21+FR22</f>
        <v>228.31700372497062</v>
      </c>
      <c r="FS23" s="17"/>
      <c r="FT23" s="158">
        <f t="shared" si="44"/>
        <v>-0.16244170323813079</v>
      </c>
    </row>
    <row r="24" spans="2:176" s="93" customFormat="1" ht="22.8" x14ac:dyDescent="0.4">
      <c r="B24" s="111"/>
      <c r="M24" s="111"/>
      <c r="X24" s="111"/>
      <c r="AI24" s="111"/>
      <c r="AT24" s="111"/>
      <c r="BE24" s="111"/>
      <c r="BP24" s="111"/>
      <c r="CA24" s="111"/>
      <c r="CL24" s="111"/>
      <c r="CW24" s="111"/>
      <c r="DH24" s="111"/>
      <c r="DS24" s="111"/>
      <c r="ED24" s="111"/>
      <c r="EO24" s="111"/>
      <c r="EZ24" s="111"/>
      <c r="FK24" s="111"/>
    </row>
    <row r="25" spans="2:176" ht="15" customHeight="1" x14ac:dyDescent="0.4">
      <c r="B25" s="85"/>
      <c r="M25" s="85"/>
      <c r="X25" s="85"/>
      <c r="AI25" s="85"/>
      <c r="AT25" s="87" t="s">
        <v>101</v>
      </c>
      <c r="BP25" s="85"/>
      <c r="CA25" s="85"/>
      <c r="CL25" s="85"/>
      <c r="CW25" s="85"/>
      <c r="DH25" s="85"/>
      <c r="DS25" s="85"/>
      <c r="ED25" s="85"/>
      <c r="EO25" s="85"/>
      <c r="EZ25" s="87" t="s">
        <v>94</v>
      </c>
      <c r="FK25" s="85"/>
    </row>
    <row r="26" spans="2:176" ht="15" customHeight="1" x14ac:dyDescent="0.4">
      <c r="B26" s="85"/>
      <c r="M26" s="85"/>
      <c r="X26" s="85"/>
      <c r="AI26" s="85"/>
      <c r="AT26" s="85"/>
      <c r="BE26" s="85"/>
      <c r="BP26" s="85"/>
      <c r="CA26" s="85"/>
      <c r="CL26" s="85"/>
      <c r="CW26" s="85"/>
      <c r="DH26" s="85"/>
      <c r="DS26" s="85"/>
      <c r="ED26" s="85"/>
      <c r="EO26" s="85"/>
      <c r="EZ26" s="85"/>
      <c r="FK26" s="85"/>
    </row>
    <row r="27" spans="2:176" x14ac:dyDescent="0.3">
      <c r="B27" s="13" t="s">
        <v>29</v>
      </c>
      <c r="C27" s="117">
        <f>-C16</f>
        <v>2938.458964646934</v>
      </c>
      <c r="D27" s="117">
        <f>-D16</f>
        <v>3229.02572613952</v>
      </c>
      <c r="H27" s="117">
        <f>-H16</f>
        <v>3201.6612095024238</v>
      </c>
      <c r="I27" s="117">
        <f>-I16</f>
        <v>3157.0173265813664</v>
      </c>
      <c r="M27" s="13" t="s">
        <v>29</v>
      </c>
      <c r="N27" s="117">
        <f>-N16</f>
        <v>765.85906104302501</v>
      </c>
      <c r="O27" s="117">
        <f>-O16</f>
        <v>888.03878425151413</v>
      </c>
      <c r="S27" s="117">
        <f>-S16</f>
        <v>892.55673387878528</v>
      </c>
      <c r="T27" s="117">
        <f>-T16</f>
        <v>934.49847348042795</v>
      </c>
      <c r="X27" s="13" t="s">
        <v>29</v>
      </c>
      <c r="Y27" s="117">
        <f>-Y16</f>
        <v>2172.5999036039088</v>
      </c>
      <c r="Z27" s="117">
        <f>-Z16</f>
        <v>2340.9869418880062</v>
      </c>
      <c r="AD27" s="117">
        <f>-AD16</f>
        <v>2309.1044756236388</v>
      </c>
      <c r="AE27" s="117">
        <f>-AE16</f>
        <v>2222.5188531009389</v>
      </c>
      <c r="AI27" s="13" t="s">
        <v>29</v>
      </c>
      <c r="AJ27" s="117">
        <f>-AJ16</f>
        <v>204.61521610721996</v>
      </c>
      <c r="AK27" s="117">
        <f>-AK16</f>
        <v>326.00231299999996</v>
      </c>
      <c r="AO27" s="117">
        <f>-AO16</f>
        <v>312</v>
      </c>
      <c r="AP27" s="117">
        <f>-AP16</f>
        <v>261.00000000000006</v>
      </c>
      <c r="AT27" s="13" t="s">
        <v>29</v>
      </c>
      <c r="AU27" s="117">
        <f>-AU16</f>
        <v>8.5378870030199998</v>
      </c>
      <c r="AV27" s="117">
        <f>-AV16</f>
        <v>6.954878636564283</v>
      </c>
      <c r="AZ27" s="117">
        <f>-AZ16</f>
        <v>7.0476739803355697</v>
      </c>
      <c r="BA27" s="117">
        <f>-BA16</f>
        <v>7.1423252309822791</v>
      </c>
      <c r="BE27" s="13" t="s">
        <v>29</v>
      </c>
      <c r="BF27" s="117">
        <f>-BF16</f>
        <v>196.07732910419998</v>
      </c>
      <c r="BG27" s="117">
        <f>-BG16</f>
        <v>319.04743436343568</v>
      </c>
      <c r="BK27" s="117">
        <f>-BK16</f>
        <v>304.95232601966438</v>
      </c>
      <c r="BL27" s="117">
        <f>-BL16</f>
        <v>253.85767476901776</v>
      </c>
      <c r="BP27" s="13" t="s">
        <v>29</v>
      </c>
      <c r="BQ27" s="117">
        <f>-BQ16</f>
        <v>1967.9846874966888</v>
      </c>
      <c r="BR27" s="117">
        <f>-BR16</f>
        <v>2014.9846288880062</v>
      </c>
      <c r="BV27" s="117">
        <f>-BV16</f>
        <v>1997.1044756236383</v>
      </c>
      <c r="BW27" s="117">
        <f>-BW16</f>
        <v>1961.5188531009385</v>
      </c>
      <c r="CA27" s="13" t="s">
        <v>29</v>
      </c>
      <c r="CB27" s="117">
        <f>-CB16</f>
        <v>1715.6825055214249</v>
      </c>
      <c r="CC27" s="117">
        <f>-CC16</f>
        <v>1748.2956735685591</v>
      </c>
      <c r="CG27" s="117">
        <f>-CG16</f>
        <v>1742.612760240354</v>
      </c>
      <c r="CH27" s="117">
        <f>-CH16</f>
        <v>1734.6609524237019</v>
      </c>
      <c r="CL27" s="13" t="s">
        <v>29</v>
      </c>
      <c r="CM27" s="117">
        <f>-CM16</f>
        <v>1316.5858854119103</v>
      </c>
      <c r="CN27" s="117">
        <f>-CN16</f>
        <v>1328.1928169549733</v>
      </c>
      <c r="CR27" s="117">
        <f>-CR16</f>
        <v>1318.4646687290042</v>
      </c>
      <c r="CS27" s="117">
        <f>-CS16</f>
        <v>1303.799469595323</v>
      </c>
      <c r="CW27" s="13" t="s">
        <v>29</v>
      </c>
      <c r="CX27" s="117">
        <f>-CX16</f>
        <v>399.09662010951462</v>
      </c>
      <c r="CY27" s="117">
        <f>-CY16</f>
        <v>420.10285661358591</v>
      </c>
      <c r="DC27" s="117">
        <f>-DC16</f>
        <v>424.14809151134989</v>
      </c>
      <c r="DD27" s="117">
        <f>-DD16</f>
        <v>430.86148282837894</v>
      </c>
      <c r="DH27" s="13" t="s">
        <v>29</v>
      </c>
      <c r="DI27" s="117">
        <f>-DI16</f>
        <v>117.83934379900846</v>
      </c>
      <c r="DJ27" s="117">
        <f>-DJ16</f>
        <v>119.47337365588672</v>
      </c>
      <c r="DN27" s="117">
        <f>-DN16</f>
        <v>118.81521253393184</v>
      </c>
      <c r="DO27" s="117">
        <f>-DO16</f>
        <v>119.79401241322807</v>
      </c>
      <c r="DS27" s="13" t="s">
        <v>29</v>
      </c>
      <c r="DT27" s="117">
        <f>-DT16</f>
        <v>25.681503349954216</v>
      </c>
      <c r="DU27" s="117">
        <f>-DU16</f>
        <v>26.457157599200752</v>
      </c>
      <c r="DY27" s="117">
        <f>-DY16</f>
        <v>24.935512529253199</v>
      </c>
      <c r="DZ27" s="117">
        <f>-DZ16</f>
        <v>23.806147790389407</v>
      </c>
      <c r="ED27" s="13" t="s">
        <v>29</v>
      </c>
      <c r="EE27" s="117">
        <f>-EE16</f>
        <v>96.147439425095172</v>
      </c>
      <c r="EF27" s="117">
        <f>-EF16</f>
        <v>298.6567985986627</v>
      </c>
      <c r="EJ27" s="117">
        <f>-EJ16</f>
        <v>178.12038185851401</v>
      </c>
      <c r="EK27" s="117">
        <f>-EK16</f>
        <v>35.67549545081306</v>
      </c>
      <c r="EO27" s="13" t="s">
        <v>29</v>
      </c>
      <c r="EP27" s="117">
        <f>-EP16</f>
        <v>12.633895401206033</v>
      </c>
      <c r="EQ27" s="117">
        <f>-EQ16</f>
        <v>-177.89837453430277</v>
      </c>
      <c r="EU27" s="117">
        <f>-EU16</f>
        <v>-67.379391538414566</v>
      </c>
      <c r="EV27" s="117">
        <f>-EV16</f>
        <v>47.582245022806006</v>
      </c>
      <c r="EZ27" s="13" t="s">
        <v>29</v>
      </c>
      <c r="FA27" s="117">
        <f>-FA16</f>
        <v>100.16191478580484</v>
      </c>
      <c r="FB27" s="117">
        <f>-FB16</f>
        <v>79.744946081080954</v>
      </c>
      <c r="FF27" s="117">
        <f>-FF16</f>
        <v>71.02545771949724</v>
      </c>
      <c r="FG27" s="117">
        <f>-FG16</f>
        <v>64.77533317315627</v>
      </c>
      <c r="FK27" s="13" t="s">
        <v>29</v>
      </c>
      <c r="FL27" s="117">
        <f>-FL16</f>
        <v>-87.528019384598807</v>
      </c>
      <c r="FM27" s="117">
        <f>-FM16</f>
        <v>-257.64332061538374</v>
      </c>
      <c r="FQ27" s="117">
        <f>-FQ16</f>
        <v>-138.40484925791182</v>
      </c>
      <c r="FR27" s="117">
        <f>-FR16</f>
        <v>-17.19308815035027</v>
      </c>
    </row>
    <row r="28" spans="2:176" x14ac:dyDescent="0.3">
      <c r="B28" s="13" t="s">
        <v>30</v>
      </c>
      <c r="C28" s="118">
        <f>C12</f>
        <v>7763.3898961364666</v>
      </c>
      <c r="D28" s="118">
        <f>D12</f>
        <v>7848.2758707371577</v>
      </c>
      <c r="H28" s="118">
        <f>H12</f>
        <v>8106.0406399680951</v>
      </c>
      <c r="I28" s="118">
        <f>I12</f>
        <v>8584.8010069151842</v>
      </c>
      <c r="M28" s="13" t="s">
        <v>30</v>
      </c>
      <c r="N28" s="118">
        <f>N12</f>
        <v>5451.9054320779114</v>
      </c>
      <c r="O28" s="118">
        <f>O12</f>
        <v>5480.0638812663128</v>
      </c>
      <c r="S28" s="118">
        <f>S12</f>
        <v>5493.8134640229073</v>
      </c>
      <c r="T28" s="118">
        <f>T12</f>
        <v>5765.0507808004522</v>
      </c>
      <c r="X28" s="13" t="s">
        <v>30</v>
      </c>
      <c r="Y28" s="118">
        <f>Y12</f>
        <v>2311.4844640585557</v>
      </c>
      <c r="Z28" s="118">
        <f>Z12</f>
        <v>2368.2119894708462</v>
      </c>
      <c r="AD28" s="118">
        <f>AD12</f>
        <v>2612.2271759451869</v>
      </c>
      <c r="AE28" s="118">
        <f>AE12</f>
        <v>2819.7502261147329</v>
      </c>
      <c r="AI28" s="13" t="s">
        <v>30</v>
      </c>
      <c r="AJ28" s="118">
        <f>AJ12</f>
        <v>-206.25340347618737</v>
      </c>
      <c r="AK28" s="118">
        <f>AK12</f>
        <v>-96.044213104702607</v>
      </c>
      <c r="AO28" s="118">
        <f>AO12</f>
        <v>-78.620320706983236</v>
      </c>
      <c r="AP28" s="118">
        <f>AP12</f>
        <v>-125.72363700879707</v>
      </c>
      <c r="AT28" s="13" t="s">
        <v>30</v>
      </c>
      <c r="AU28" s="118">
        <f>AU12</f>
        <v>-95.382369451450856</v>
      </c>
      <c r="AV28" s="118">
        <f>AV12</f>
        <v>-135.44530729857942</v>
      </c>
      <c r="AZ28" s="118">
        <f>AZ12</f>
        <v>-130.4790175359702</v>
      </c>
      <c r="BA28" s="118">
        <f>BA12</f>
        <v>-137.94688370569207</v>
      </c>
      <c r="BE28" s="13" t="s">
        <v>30</v>
      </c>
      <c r="BF28" s="118">
        <f>BF12</f>
        <v>-110.87103402473652</v>
      </c>
      <c r="BG28" s="118">
        <f>BG12</f>
        <v>39.401094193876823</v>
      </c>
      <c r="BK28" s="118">
        <f>BK12</f>
        <v>51.858696828986965</v>
      </c>
      <c r="BL28" s="118">
        <f>BL12</f>
        <v>12.223246696895004</v>
      </c>
      <c r="BP28" s="13" t="s">
        <v>30</v>
      </c>
      <c r="BQ28" s="118">
        <f>BQ12</f>
        <v>2517.7378675347431</v>
      </c>
      <c r="BR28" s="118">
        <f>BR12</f>
        <v>2464.2562025755487</v>
      </c>
      <c r="BV28" s="118">
        <f>BV12</f>
        <v>2690.8474966521699</v>
      </c>
      <c r="BW28" s="118">
        <f>BW12</f>
        <v>2945.47386312353</v>
      </c>
      <c r="CA28" s="13" t="s">
        <v>30</v>
      </c>
      <c r="CB28" s="118">
        <f>CB12</f>
        <v>1733.9834720663719</v>
      </c>
      <c r="CC28" s="118">
        <f>CC12</f>
        <v>1991.6958654886444</v>
      </c>
      <c r="CG28" s="118">
        <f>CG12</f>
        <v>2292.993561175193</v>
      </c>
      <c r="CH28" s="118">
        <f>CH12</f>
        <v>2573.0827238316933</v>
      </c>
      <c r="CL28" s="13" t="s">
        <v>30</v>
      </c>
      <c r="CM28" s="118">
        <f>CM12</f>
        <v>924.16913741129724</v>
      </c>
      <c r="CN28" s="118">
        <f>CN12</f>
        <v>1094.3290335554289</v>
      </c>
      <c r="CR28" s="118">
        <f>CR12</f>
        <v>1264.0696985202046</v>
      </c>
      <c r="CS28" s="118">
        <f>CS12</f>
        <v>1397.9560038735112</v>
      </c>
      <c r="CW28" s="13" t="s">
        <v>30</v>
      </c>
      <c r="CX28" s="118">
        <f>CX12</f>
        <v>809.81433465507496</v>
      </c>
      <c r="CY28" s="118">
        <f>CY12</f>
        <v>897.36683193321562</v>
      </c>
      <c r="DC28" s="118">
        <f>DC12</f>
        <v>1028.9238626549882</v>
      </c>
      <c r="DD28" s="118">
        <f>DD12</f>
        <v>1175.1267199581821</v>
      </c>
      <c r="DH28" s="13" t="s">
        <v>30</v>
      </c>
      <c r="DI28" s="118">
        <f>DI12</f>
        <v>288.81574628171467</v>
      </c>
      <c r="DJ28" s="118">
        <f>DJ12</f>
        <v>308.70957815159187</v>
      </c>
      <c r="DN28" s="118">
        <f>DN12</f>
        <v>324.31638451767697</v>
      </c>
      <c r="DO28" s="118">
        <f>DO12</f>
        <v>340.95439662038831</v>
      </c>
      <c r="DS28" s="13" t="s">
        <v>30</v>
      </c>
      <c r="DT28" s="118">
        <f>DT12</f>
        <v>8.5078537342120697</v>
      </c>
      <c r="DU28" s="118">
        <f>DU12</f>
        <v>14.837839159273756</v>
      </c>
      <c r="DY28" s="118">
        <f>DY12</f>
        <v>19.929916217737222</v>
      </c>
      <c r="DZ28" s="118">
        <f>DZ12</f>
        <v>25.854900608152221</v>
      </c>
      <c r="ED28" s="13" t="s">
        <v>30</v>
      </c>
      <c r="EE28" s="118">
        <f>EE12</f>
        <v>126.18823718685157</v>
      </c>
      <c r="EF28" s="118">
        <f>EF12</f>
        <v>328.95961027241003</v>
      </c>
      <c r="EJ28" s="118">
        <f>EJ12</f>
        <v>182.97613517804729</v>
      </c>
      <c r="EK28" s="118">
        <f>EK12</f>
        <v>26.014053274970252</v>
      </c>
      <c r="EO28" s="13" t="s">
        <v>30</v>
      </c>
      <c r="EP28" s="118">
        <f>EP12</f>
        <v>360.24255826559289</v>
      </c>
      <c r="EQ28" s="118">
        <f>EQ12</f>
        <v>-179.94669049637116</v>
      </c>
      <c r="EU28" s="118">
        <f>EU12</f>
        <v>-129.36850043648496</v>
      </c>
      <c r="EV28" s="118">
        <f>EV12</f>
        <v>-20.432211211673817</v>
      </c>
      <c r="EZ28" s="13" t="s">
        <v>30</v>
      </c>
      <c r="FA28" s="118">
        <f>FA12</f>
        <v>-1.660035399938268</v>
      </c>
      <c r="FB28" s="118">
        <f>FB12</f>
        <v>-217.88446229061191</v>
      </c>
      <c r="FF28" s="118">
        <f>FF12</f>
        <v>-320.93140104361333</v>
      </c>
      <c r="FG28" s="118">
        <f>FG12</f>
        <v>-354.94003068741569</v>
      </c>
      <c r="FK28" s="13" t="s">
        <v>30</v>
      </c>
      <c r="FL28" s="118">
        <f>FL12</f>
        <v>361.90259366553119</v>
      </c>
      <c r="FM28" s="118">
        <f>FM12</f>
        <v>37.937771794240746</v>
      </c>
      <c r="FQ28" s="118">
        <f>FQ12</f>
        <v>191.56290060712834</v>
      </c>
      <c r="FR28" s="118">
        <f>FR12</f>
        <v>334.50781947574188</v>
      </c>
    </row>
    <row r="29" spans="2:176" s="5" customFormat="1" x14ac:dyDescent="0.3">
      <c r="B29" s="14" t="s">
        <v>21</v>
      </c>
      <c r="C29" s="116">
        <f>IFERROR(C27/C28,0)</f>
        <v>0.37850204665223491</v>
      </c>
      <c r="D29" s="116">
        <f>IFERROR(D27/D28,0)</f>
        <v>0.41143122124174647</v>
      </c>
      <c r="E29" s="114"/>
      <c r="F29" s="114"/>
      <c r="G29" s="114"/>
      <c r="H29" s="116">
        <f>IFERROR(H27/H28,0)</f>
        <v>0.39497226225540183</v>
      </c>
      <c r="I29" s="116">
        <f>IFERROR(I27/I28,0)</f>
        <v>0.36774496275899027</v>
      </c>
      <c r="M29" s="14" t="s">
        <v>21</v>
      </c>
      <c r="N29" s="116">
        <f>IFERROR(N27/N28,0)</f>
        <v>0.14047548523803527</v>
      </c>
      <c r="O29" s="116">
        <f>IFERROR(O27/O28,0)</f>
        <v>0.16204898400679035</v>
      </c>
      <c r="P29" s="114"/>
      <c r="Q29" s="114"/>
      <c r="R29" s="114"/>
      <c r="S29" s="116">
        <f>IFERROR(S27/S28,0)</f>
        <v>0.16246578805848289</v>
      </c>
      <c r="T29" s="116">
        <f>IFERROR(T27/T28,0)</f>
        <v>0.16209717988827096</v>
      </c>
      <c r="X29" s="14" t="s">
        <v>21</v>
      </c>
      <c r="Y29" s="116">
        <f>IFERROR(Y27/Y28,0)</f>
        <v>0.939915425513702</v>
      </c>
      <c r="Z29" s="116">
        <f>IFERROR(Z27/Z28,0)</f>
        <v>0.98850396514168348</v>
      </c>
      <c r="AA29" s="114"/>
      <c r="AB29" s="114"/>
      <c r="AC29" s="114"/>
      <c r="AD29" s="116">
        <f>IFERROR(AD27/AD28,0)</f>
        <v>0.8839600540439716</v>
      </c>
      <c r="AE29" s="116">
        <f>IFERROR(AE27/AE28,0)</f>
        <v>0.78819706529939537</v>
      </c>
      <c r="AI29" s="14" t="s">
        <v>21</v>
      </c>
      <c r="AJ29" s="116">
        <f>IFERROR(AJ27/AJ28,0)</f>
        <v>-0.99205740442893331</v>
      </c>
      <c r="AK29" s="116">
        <f>IFERROR(AK27/AK28,0)</f>
        <v>-3.3942941741279977</v>
      </c>
      <c r="AL29" s="114"/>
      <c r="AM29" s="114"/>
      <c r="AN29" s="114"/>
      <c r="AO29" s="116">
        <f>IFERROR(AO27/AO28,0)</f>
        <v>-3.9684396755747073</v>
      </c>
      <c r="AP29" s="116">
        <f>IFERROR(AP27/AP28,0)</f>
        <v>-2.0759819411025906</v>
      </c>
      <c r="AS29" s="115"/>
      <c r="AT29" s="14" t="s">
        <v>21</v>
      </c>
      <c r="AU29" s="116">
        <f>IFERROR(AU27/AU28,0)</f>
        <v>-8.9512213337976904E-2</v>
      </c>
      <c r="AV29" s="116">
        <f>IFERROR(AV27/AV28,0)</f>
        <v>-5.1348243621558286E-2</v>
      </c>
      <c r="AW29" s="114"/>
      <c r="AX29" s="114"/>
      <c r="AY29" s="114"/>
      <c r="AZ29" s="116">
        <f>IFERROR(AZ27/AZ28,0)</f>
        <v>-5.4013849225931526E-2</v>
      </c>
      <c r="BA29" s="116">
        <f>IFERROR(BA27/BA28,0)</f>
        <v>-5.1775908517225654E-2</v>
      </c>
      <c r="BD29" s="115"/>
      <c r="BE29" s="14" t="s">
        <v>21</v>
      </c>
      <c r="BF29" s="116">
        <f>IFERROR(BF27/BF28,0)</f>
        <v>-1.7685171860168005</v>
      </c>
      <c r="BG29" s="116">
        <f>IFERROR(BG27/BG28,0)</f>
        <v>8.0974257413647575</v>
      </c>
      <c r="BH29" s="114"/>
      <c r="BI29" s="114"/>
      <c r="BJ29" s="114"/>
      <c r="BK29" s="116">
        <f>IFERROR(BK27/BK28,0)</f>
        <v>5.8804471509436018</v>
      </c>
      <c r="BL29" s="116">
        <f>IFERROR(BL27/BL28,0)</f>
        <v>20.768432566570358</v>
      </c>
      <c r="BP29" s="14" t="s">
        <v>21</v>
      </c>
      <c r="BQ29" s="116">
        <f>IFERROR(BQ27/BQ28,0)</f>
        <v>0.78164796775434442</v>
      </c>
      <c r="BR29" s="116">
        <f>IFERROR(BR27/BR28,0)</f>
        <v>0.81768471426875966</v>
      </c>
      <c r="BS29" s="114"/>
      <c r="BT29" s="114"/>
      <c r="BU29" s="114"/>
      <c r="BV29" s="116">
        <f>IFERROR(BV27/BV28,0)</f>
        <v>0.74218419219533804</v>
      </c>
      <c r="BW29" s="116">
        <f>IFERROR(BW27/BW28,0)</f>
        <v>0.66594339120050594</v>
      </c>
      <c r="CA29" s="14" t="s">
        <v>21</v>
      </c>
      <c r="CB29" s="116">
        <f>IFERROR(CB27/CB28,0)</f>
        <v>0.98944570877418003</v>
      </c>
      <c r="CC29" s="116">
        <f>IFERROR(CC27/CC28,0)</f>
        <v>0.87779249024028616</v>
      </c>
      <c r="CD29" s="114"/>
      <c r="CE29" s="114"/>
      <c r="CF29" s="114"/>
      <c r="CG29" s="116">
        <f>IFERROR(CG27/CG28,0)</f>
        <v>0.75997281010559803</v>
      </c>
      <c r="CH29" s="116">
        <f>IFERROR(CH27/CH28,0)</f>
        <v>0.67415669786183174</v>
      </c>
      <c r="CL29" s="14" t="s">
        <v>21</v>
      </c>
      <c r="CM29" s="116">
        <f>IFERROR(CM27/CM28,0)</f>
        <v>1.4246157246711537</v>
      </c>
      <c r="CN29" s="116">
        <f>IFERROR(CN27/CN28,0)</f>
        <v>1.2137051802781207</v>
      </c>
      <c r="CO29" s="114"/>
      <c r="CP29" s="114"/>
      <c r="CQ29" s="114"/>
      <c r="CR29" s="116">
        <f>IFERROR(CR27/CR28,0)</f>
        <v>1.0430316226015683</v>
      </c>
      <c r="CS29" s="116">
        <f>IFERROR(CS27/CS28,0)</f>
        <v>0.93264699746108204</v>
      </c>
      <c r="CW29" s="14" t="s">
        <v>21</v>
      </c>
      <c r="CX29" s="116">
        <f>IFERROR(CX27/CX28,0)</f>
        <v>0.49282484025119444</v>
      </c>
      <c r="CY29" s="116">
        <f>IFERROR(CY27/CY28,0)</f>
        <v>0.46815063992119005</v>
      </c>
      <c r="CZ29" s="114"/>
      <c r="DA29" s="114"/>
      <c r="DB29" s="114"/>
      <c r="DC29" s="116">
        <f>IFERROR(DC27/DC28,0)</f>
        <v>0.41222495357129491</v>
      </c>
      <c r="DD29" s="116">
        <f>IFERROR(DD27/DD28,0)</f>
        <v>0.36665108154779386</v>
      </c>
      <c r="DH29" s="14" t="s">
        <v>21</v>
      </c>
      <c r="DI29" s="116">
        <f>IFERROR(DI27/DI28,0)</f>
        <v>0.40800872291798945</v>
      </c>
      <c r="DJ29" s="116">
        <f>IFERROR(DJ27/DJ28,0)</f>
        <v>0.38700896282919767</v>
      </c>
      <c r="DK29" s="114"/>
      <c r="DL29" s="114"/>
      <c r="DM29" s="114"/>
      <c r="DN29" s="116">
        <f>IFERROR(DN27/DN28,0)</f>
        <v>0.36635587409693693</v>
      </c>
      <c r="DO29" s="116">
        <f>IFERROR(DO27/DO28,0)</f>
        <v>0.3513490765939713</v>
      </c>
      <c r="DS29" s="14" t="s">
        <v>21</v>
      </c>
      <c r="DT29" s="116">
        <f>IFERROR(DT27/DT28,0)</f>
        <v>3.0185642762854377</v>
      </c>
      <c r="DU29" s="116">
        <f>IFERROR(DU27/DU28,0)</f>
        <v>1.7830869653729087</v>
      </c>
      <c r="DV29" s="114"/>
      <c r="DW29" s="114"/>
      <c r="DX29" s="114"/>
      <c r="DY29" s="116">
        <f>IFERROR(DY27/DY28,0)</f>
        <v>1.2511599274592582</v>
      </c>
      <c r="DZ29" s="116">
        <f>IFERROR(DZ27/DZ28,0)</f>
        <v>0.92075959413602115</v>
      </c>
      <c r="ED29" s="14" t="s">
        <v>21</v>
      </c>
      <c r="EE29" s="116">
        <f>IFERROR(EE27/EE28,0)</f>
        <v>0.76193662395589312</v>
      </c>
      <c r="EF29" s="116">
        <f>IFERROR(EF27/EF28,0)</f>
        <v>0.90788288067141831</v>
      </c>
      <c r="EG29" s="114"/>
      <c r="EH29" s="114"/>
      <c r="EI29" s="114"/>
      <c r="EJ29" s="116">
        <f>IFERROR(EJ27/EJ28,0)</f>
        <v>0.97346236811260478</v>
      </c>
      <c r="EK29" s="116">
        <f>IFERROR(EK27/EK28,0)</f>
        <v>1.3713931878942789</v>
      </c>
      <c r="EO29" s="14" t="s">
        <v>21</v>
      </c>
      <c r="EP29" s="116">
        <f>IFERROR(EP27/EP28,0)</f>
        <v>3.5070524321258983E-2</v>
      </c>
      <c r="EQ29" s="116">
        <f>IFERROR(EQ27/EQ28,0)</f>
        <v>0.98861709567195577</v>
      </c>
      <c r="ER29" s="114"/>
      <c r="ES29" s="114"/>
      <c r="ET29" s="114"/>
      <c r="EU29" s="116">
        <f>IFERROR(EU27/EU28,0)</f>
        <v>0.52083305681892245</v>
      </c>
      <c r="EV29" s="116">
        <f>IFERROR(EV27/EV28,0)</f>
        <v>-2.3287858827350112</v>
      </c>
      <c r="EZ29" s="14" t="s">
        <v>21</v>
      </c>
      <c r="FA29" s="116">
        <f>IFERROR(FA27/FA28,0)</f>
        <v>-60.337216175949969</v>
      </c>
      <c r="FB29" s="116">
        <f>IFERROR(FB27/FB28,0)</f>
        <v>-0.36599647924741885</v>
      </c>
      <c r="FC29" s="114"/>
      <c r="FD29" s="114"/>
      <c r="FE29" s="114"/>
      <c r="FF29" s="116">
        <f>IFERROR(FF27/FF28,0)</f>
        <v>-0.22131040305976526</v>
      </c>
      <c r="FG29" s="116">
        <f>IFERROR(FG27/FG28,0)</f>
        <v>-0.1824965559610317</v>
      </c>
      <c r="FK29" s="14" t="s">
        <v>21</v>
      </c>
      <c r="FL29" s="116">
        <f>IFERROR(FL27/FL28,0)</f>
        <v>-0.24185518677296861</v>
      </c>
      <c r="FM29" s="116">
        <f>IFERROR(FM27/FM28,0)</f>
        <v>-6.7912085615554272</v>
      </c>
      <c r="FN29" s="114"/>
      <c r="FO29" s="114"/>
      <c r="FP29" s="114"/>
      <c r="FQ29" s="116">
        <f>IFERROR(FQ27/FQ28,0)</f>
        <v>-0.72250341177367605</v>
      </c>
      <c r="FR29" s="116">
        <f>IFERROR(FR27/FR28,0)</f>
        <v>-5.1398165152898891E-2</v>
      </c>
    </row>
    <row r="30" spans="2:176" x14ac:dyDescent="0.3">
      <c r="B30" s="13" t="s">
        <v>25</v>
      </c>
      <c r="C30" s="117">
        <f>-C19</f>
        <v>3251.6304567405568</v>
      </c>
      <c r="D30" s="117">
        <f>-D19</f>
        <v>3524.9148493023331</v>
      </c>
      <c r="E30" s="19"/>
      <c r="F30" s="19"/>
      <c r="G30" s="19"/>
      <c r="H30" s="117">
        <f>-H19</f>
        <v>3447.1478250374284</v>
      </c>
      <c r="I30" s="117">
        <f>-I19</f>
        <v>3454.3371006151147</v>
      </c>
      <c r="M30" s="13" t="s">
        <v>25</v>
      </c>
      <c r="N30" s="117">
        <f>-N19</f>
        <v>3221.95905225959</v>
      </c>
      <c r="O30" s="117">
        <f>-O19</f>
        <v>3344.9089387487884</v>
      </c>
      <c r="P30" s="19"/>
      <c r="Q30" s="19"/>
      <c r="R30" s="19"/>
      <c r="S30" s="117">
        <f>-S19</f>
        <v>3247.1374663527163</v>
      </c>
      <c r="T30" s="117">
        <f>-T19</f>
        <v>3230.9415827434027</v>
      </c>
      <c r="X30" s="13" t="s">
        <v>25</v>
      </c>
      <c r="Y30" s="117">
        <f>-Y19</f>
        <v>29.67140448096692</v>
      </c>
      <c r="Z30" s="117">
        <f>-Z19</f>
        <v>180.00591055354457</v>
      </c>
      <c r="AA30" s="19"/>
      <c r="AB30" s="19"/>
      <c r="AC30" s="19"/>
      <c r="AD30" s="117">
        <f>-AD19</f>
        <v>200.01035868471229</v>
      </c>
      <c r="AE30" s="117">
        <f>-AE19</f>
        <v>223.39551787171183</v>
      </c>
      <c r="AI30" s="13" t="s">
        <v>25</v>
      </c>
      <c r="AJ30" s="117">
        <f>-AJ19</f>
        <v>7.4884530000000005E-2</v>
      </c>
      <c r="AK30" s="117">
        <f>-AK19</f>
        <v>0</v>
      </c>
      <c r="AL30" s="19"/>
      <c r="AM30" s="19"/>
      <c r="AN30" s="19"/>
      <c r="AO30" s="117">
        <f>-AO19</f>
        <v>0</v>
      </c>
      <c r="AP30" s="117">
        <f>-AP19</f>
        <v>0</v>
      </c>
      <c r="AT30" s="13" t="s">
        <v>25</v>
      </c>
      <c r="AU30" s="117">
        <f>-AU19</f>
        <v>0</v>
      </c>
      <c r="AV30" s="117">
        <f>-AV19</f>
        <v>0</v>
      </c>
      <c r="AW30" s="19"/>
      <c r="AX30" s="19"/>
      <c r="AY30" s="19"/>
      <c r="AZ30" s="117">
        <f>-AZ19</f>
        <v>0</v>
      </c>
      <c r="BA30" s="117">
        <f>-BA19</f>
        <v>0</v>
      </c>
      <c r="BE30" s="13" t="s">
        <v>25</v>
      </c>
      <c r="BF30" s="117">
        <f>-BF19</f>
        <v>7.4884530000000005E-2</v>
      </c>
      <c r="BG30" s="117">
        <f>-BG19</f>
        <v>0</v>
      </c>
      <c r="BH30" s="19"/>
      <c r="BI30" s="19"/>
      <c r="BJ30" s="19"/>
      <c r="BK30" s="117">
        <f>-BK19</f>
        <v>0</v>
      </c>
      <c r="BL30" s="117">
        <f>-BL19</f>
        <v>0</v>
      </c>
      <c r="BP30" s="13" t="s">
        <v>25</v>
      </c>
      <c r="BQ30" s="117">
        <f>-BQ19</f>
        <v>29.596519950966922</v>
      </c>
      <c r="BR30" s="117">
        <f>-BR19</f>
        <v>180.00591055354457</v>
      </c>
      <c r="BS30" s="19"/>
      <c r="BT30" s="19"/>
      <c r="BU30" s="19"/>
      <c r="BV30" s="117">
        <f>-BV19</f>
        <v>200.01035868471229</v>
      </c>
      <c r="BW30" s="117">
        <f>-BW19</f>
        <v>223.39551787171183</v>
      </c>
      <c r="CA30" s="13" t="s">
        <v>25</v>
      </c>
      <c r="CB30" s="117">
        <f>-CB19</f>
        <v>98.591816066996785</v>
      </c>
      <c r="CC30" s="117">
        <f>-CC19</f>
        <v>171.74947678908356</v>
      </c>
      <c r="CD30" s="19"/>
      <c r="CE30" s="19"/>
      <c r="CF30" s="19"/>
      <c r="CG30" s="117">
        <f>-CG19</f>
        <v>195.98499254307308</v>
      </c>
      <c r="CH30" s="117">
        <f>-CH19</f>
        <v>213.85552782587828</v>
      </c>
      <c r="CL30" s="13" t="s">
        <v>25</v>
      </c>
      <c r="CM30" s="117">
        <f>-CM19</f>
        <v>65.857934360037433</v>
      </c>
      <c r="CN30" s="117">
        <f>-CN19</f>
        <v>79.776350000000008</v>
      </c>
      <c r="CO30" s="19"/>
      <c r="CP30" s="19"/>
      <c r="CQ30" s="19"/>
      <c r="CR30" s="117">
        <f>-CR19</f>
        <v>95.080387000000002</v>
      </c>
      <c r="CS30" s="117">
        <f>-CS19</f>
        <v>110.36798333333334</v>
      </c>
      <c r="CW30" s="13" t="s">
        <v>25</v>
      </c>
      <c r="CX30" s="117">
        <f>-CX19</f>
        <v>32.733881706959359</v>
      </c>
      <c r="CY30" s="117">
        <f>-CY19</f>
        <v>91.973126789083551</v>
      </c>
      <c r="CZ30" s="19"/>
      <c r="DA30" s="19"/>
      <c r="DB30" s="19"/>
      <c r="DC30" s="117">
        <f>-DC19</f>
        <v>100.90460554307309</v>
      </c>
      <c r="DD30" s="117">
        <f>-DD19</f>
        <v>103.48754449254494</v>
      </c>
      <c r="DH30" s="13" t="s">
        <v>25</v>
      </c>
      <c r="DI30" s="117">
        <f>-DI19</f>
        <v>-0.96424794617643417</v>
      </c>
      <c r="DJ30" s="117">
        <f>-DJ19</f>
        <v>12.910919224952202</v>
      </c>
      <c r="DK30" s="19"/>
      <c r="DL30" s="19"/>
      <c r="DM30" s="19"/>
      <c r="DN30" s="117">
        <f>-DN19</f>
        <v>8.4238083098694698</v>
      </c>
      <c r="DO30" s="117">
        <f>-DO19</f>
        <v>10.816170688189903</v>
      </c>
      <c r="DS30" s="13" t="s">
        <v>25</v>
      </c>
      <c r="DT30" s="117">
        <f>-DT19</f>
        <v>1.6193100000000001E-3</v>
      </c>
      <c r="DU30" s="117">
        <f>-DU19</f>
        <v>1.512956469779665E-3</v>
      </c>
      <c r="DV30" s="19"/>
      <c r="DW30" s="19"/>
      <c r="DX30" s="19"/>
      <c r="DY30" s="117">
        <f>-DY19</f>
        <v>8.8158033196507888E-4</v>
      </c>
      <c r="DZ30" s="117">
        <f>-DZ19</f>
        <v>4.8641826998799097E-4</v>
      </c>
      <c r="ED30" s="13" t="s">
        <v>25</v>
      </c>
      <c r="EE30" s="117">
        <f>-EE19</f>
        <v>2E-8</v>
      </c>
      <c r="EF30" s="117">
        <f>-EF19</f>
        <v>0</v>
      </c>
      <c r="EG30" s="19"/>
      <c r="EH30" s="19"/>
      <c r="EI30" s="19"/>
      <c r="EJ30" s="117">
        <f>-EJ19</f>
        <v>0</v>
      </c>
      <c r="EK30" s="117">
        <f>-EK19</f>
        <v>0</v>
      </c>
      <c r="EO30" s="13" t="s">
        <v>25</v>
      </c>
      <c r="EP30" s="117">
        <f>-EP19</f>
        <v>-68.032667499853432</v>
      </c>
      <c r="EQ30" s="117">
        <f>-EQ19</f>
        <v>-4.6559984169609914</v>
      </c>
      <c r="ER30" s="19"/>
      <c r="ES30" s="19"/>
      <c r="ET30" s="19"/>
      <c r="EU30" s="117">
        <f>-EU19</f>
        <v>-4.3993237485622236</v>
      </c>
      <c r="EV30" s="117">
        <f>-EV19</f>
        <v>-1.276667060626357</v>
      </c>
      <c r="EZ30" s="13" t="s">
        <v>25</v>
      </c>
      <c r="FA30" s="117">
        <f>-FA19</f>
        <v>0</v>
      </c>
      <c r="FB30" s="117">
        <f>-FB19</f>
        <v>0</v>
      </c>
      <c r="FC30" s="19"/>
      <c r="FD30" s="19"/>
      <c r="FE30" s="19"/>
      <c r="FF30" s="117">
        <f>-FF19</f>
        <v>0</v>
      </c>
      <c r="FG30" s="117">
        <f>-FG19</f>
        <v>0</v>
      </c>
      <c r="FK30" s="13" t="s">
        <v>25</v>
      </c>
      <c r="FL30" s="117">
        <f>-FL19</f>
        <v>-68.032667499853432</v>
      </c>
      <c r="FM30" s="117">
        <f>-FM19</f>
        <v>-4.6559984169609914</v>
      </c>
      <c r="FN30" s="19"/>
      <c r="FO30" s="19"/>
      <c r="FP30" s="19"/>
      <c r="FQ30" s="117">
        <f>-FQ19</f>
        <v>-4.3993237485622236</v>
      </c>
      <c r="FR30" s="117">
        <f>-FR19</f>
        <v>-1.276667060626357</v>
      </c>
    </row>
    <row r="31" spans="2:176" s="75" customFormat="1" x14ac:dyDescent="0.3">
      <c r="B31" s="13" t="s">
        <v>26</v>
      </c>
      <c r="C31" s="117">
        <f>N31+Y31</f>
        <v>85815.249251178117</v>
      </c>
      <c r="D31" s="117">
        <f>O31+Z31</f>
        <v>89988.739749084605</v>
      </c>
      <c r="E31" s="19"/>
      <c r="F31" s="19"/>
      <c r="G31" s="19"/>
      <c r="H31" s="117">
        <f>S31+AD31</f>
        <v>94128.554160552798</v>
      </c>
      <c r="I31" s="117">
        <f>T31+AE31</f>
        <v>99880.149360831681</v>
      </c>
      <c r="M31" s="13" t="s">
        <v>26</v>
      </c>
      <c r="N31" s="117">
        <f>'[2]P&amp;L'!N31</f>
        <v>30626.119733079351</v>
      </c>
      <c r="O31" s="117">
        <f>'[2]P&amp;L'!O31</f>
        <v>31898.776568650836</v>
      </c>
      <c r="P31" s="19"/>
      <c r="Q31" s="19"/>
      <c r="R31" s="19"/>
      <c r="S31" s="117">
        <f>'[2]P&amp;L'!S31</f>
        <v>32092.578391770679</v>
      </c>
      <c r="T31" s="117">
        <f>'[2]P&amp;L'!T31</f>
        <v>32975.828864335897</v>
      </c>
      <c r="X31" s="13" t="s">
        <v>26</v>
      </c>
      <c r="Y31" s="117">
        <f>AJ31+BQ31</f>
        <v>55189.129518098765</v>
      </c>
      <c r="Z31" s="117">
        <f>AK31+BR31</f>
        <v>58089.963180433762</v>
      </c>
      <c r="AA31" s="19"/>
      <c r="AB31" s="19"/>
      <c r="AC31" s="19"/>
      <c r="AD31" s="117">
        <f>AO31+BV31</f>
        <v>62035.975768782118</v>
      </c>
      <c r="AE31" s="117">
        <f>AP31+BW31</f>
        <v>66904.320496495784</v>
      </c>
      <c r="AI31" s="13" t="s">
        <v>113</v>
      </c>
      <c r="AJ31" s="117">
        <f>'Capital Plan'!AJ10</f>
        <v>300</v>
      </c>
      <c r="AK31" s="117">
        <f>'Capital Plan'!AK10</f>
        <v>1300</v>
      </c>
      <c r="AL31" s="19"/>
      <c r="AM31" s="19"/>
      <c r="AN31" s="19"/>
      <c r="AO31" s="117">
        <f>'Capital Plan'!AO10</f>
        <v>3300</v>
      </c>
      <c r="AP31" s="117">
        <f>'Capital Plan'!AP10</f>
        <v>3300</v>
      </c>
      <c r="AS31" s="93"/>
      <c r="AT31" s="13" t="s">
        <v>26</v>
      </c>
      <c r="AU31" s="117">
        <f>AJ31</f>
        <v>300</v>
      </c>
      <c r="AV31" s="117">
        <f>AK31</f>
        <v>1300</v>
      </c>
      <c r="AW31" s="19"/>
      <c r="AX31" s="19"/>
      <c r="AY31" s="19"/>
      <c r="AZ31" s="117">
        <f>AO31</f>
        <v>3300</v>
      </c>
      <c r="BA31" s="117">
        <f>AP31</f>
        <v>3300</v>
      </c>
      <c r="BD31" s="93"/>
      <c r="BE31" s="13" t="s">
        <v>26</v>
      </c>
      <c r="BF31" s="117">
        <v>0</v>
      </c>
      <c r="BG31" s="117">
        <v>0</v>
      </c>
      <c r="BH31" s="19"/>
      <c r="BI31" s="19"/>
      <c r="BJ31" s="19"/>
      <c r="BK31" s="117">
        <v>0</v>
      </c>
      <c r="BL31" s="117">
        <v>0</v>
      </c>
      <c r="BP31" s="13" t="s">
        <v>26</v>
      </c>
      <c r="BQ31" s="117">
        <f>(SUM('[5]AN01010201:AC'!$AV$16:$AV$58)/1000)-AJ31</f>
        <v>54889.129518098765</v>
      </c>
      <c r="BR31" s="117">
        <f>(SUM('[5]AN01010201:AC'!$AW$16:$AW$58)/1000)-AK31</f>
        <v>56789.963180433762</v>
      </c>
      <c r="BS31" s="19"/>
      <c r="BT31" s="19"/>
      <c r="BU31" s="19"/>
      <c r="BV31" s="117">
        <f>(SUM('[5]AN01010201:AC'!$AX$16:$AX$58)/1000)-AO31</f>
        <v>58735.975768782118</v>
      </c>
      <c r="BW31" s="117">
        <f>(SUM('[5]AN01010201:AC'!$AY$16:$AY$58)/1000)-AP31</f>
        <v>63604.320496495784</v>
      </c>
      <c r="CA31" s="13" t="s">
        <v>26</v>
      </c>
      <c r="CB31" s="117">
        <f>CM31+CX31</f>
        <v>42487.547343061713</v>
      </c>
      <c r="CC31" s="117">
        <f>CN31+CY31</f>
        <v>43162.284190993778</v>
      </c>
      <c r="CD31" s="19"/>
      <c r="CE31" s="19"/>
      <c r="CF31" s="19"/>
      <c r="CG31" s="117">
        <f>CR31+DC31</f>
        <v>46016.744368614702</v>
      </c>
      <c r="CH31" s="117">
        <f>CS31+DD31</f>
        <v>49842.776364141828</v>
      </c>
      <c r="CL31" s="13" t="s">
        <v>26</v>
      </c>
      <c r="CM31" s="117">
        <f>SUM([5]AN01010300!$AV$16:$AV$58)/1000</f>
        <v>14061.73464973583</v>
      </c>
      <c r="CN31" s="117">
        <f>SUM([5]AN01010300!$AW$16:$AW$58)/1000</f>
        <v>14214.378845422903</v>
      </c>
      <c r="CO31" s="19"/>
      <c r="CP31" s="19"/>
      <c r="CQ31" s="19"/>
      <c r="CR31" s="117">
        <f>SUM([5]AN01010300!$AX$16:$AX$58)/1000</f>
        <v>14941.065987869606</v>
      </c>
      <c r="CS31" s="117">
        <f>SUM([5]AN01010300!$AY$16:$AY$58)/1000</f>
        <v>16133.519897315622</v>
      </c>
      <c r="CW31" s="13" t="s">
        <v>113</v>
      </c>
      <c r="CX31" s="117">
        <f>SUM('[5]BC1010:BC1015'!$AV$16:$AV$58)/1000</f>
        <v>28425.812693325886</v>
      </c>
      <c r="CY31" s="117">
        <f>SUM('[5]BC1010:BC1015'!$AW$16:$AW$58)/1000</f>
        <v>28947.905345570874</v>
      </c>
      <c r="CZ31" s="19"/>
      <c r="DA31" s="19"/>
      <c r="DB31" s="19"/>
      <c r="DC31" s="117">
        <f>SUM('[5]BC1010:BC1015'!$AX$16:$AX$58)/1000</f>
        <v>31075.678380745092</v>
      </c>
      <c r="DD31" s="117">
        <f>SUM('[5]BC1010:BC1015'!$AY$16:$AY$58)/1000</f>
        <v>33709.256466826206</v>
      </c>
      <c r="DH31" s="13" t="s">
        <v>26</v>
      </c>
      <c r="DI31" s="117">
        <f>SUM([5]AN02020100:AN02020150!$AV$16:$AV$58)/1000</f>
        <v>9997.3158002399996</v>
      </c>
      <c r="DJ31" s="117">
        <f>SUM([5]AN02020100:AN02020150!$AW$16:$AW$58)/1000</f>
        <v>10911.988391782283</v>
      </c>
      <c r="DK31" s="19"/>
      <c r="DL31" s="19"/>
      <c r="DM31" s="19"/>
      <c r="DN31" s="117">
        <f>SUM([5]AN02020100:AN02020150!$AX$16:$AX$58)/1000</f>
        <v>11350.396135536612</v>
      </c>
      <c r="DO31" s="117">
        <f>SUM([5]AN02020100:AN02020150!$AY$16:$AY$58)/1000</f>
        <v>12065.132905163975</v>
      </c>
      <c r="DS31" s="13" t="s">
        <v>26</v>
      </c>
      <c r="DT31" s="117">
        <f>SUM([5]BC1020!$AV$16:$AV$58)/1000</f>
        <v>8.4239130434782601E-6</v>
      </c>
      <c r="DU31" s="117">
        <f>SUM([5]BC1020!$AW$16:$AW$58)/1000</f>
        <v>0</v>
      </c>
      <c r="DV31" s="19"/>
      <c r="DW31" s="19"/>
      <c r="DX31" s="19"/>
      <c r="DY31" s="117">
        <f>SUM([5]BC1020!$AX$16:$AX$58)/1000</f>
        <v>0</v>
      </c>
      <c r="DZ31" s="117">
        <f>SUM([5]BC1020!$AY$16:$AY$58)/1000</f>
        <v>0</v>
      </c>
      <c r="ED31" s="13" t="s">
        <v>26</v>
      </c>
      <c r="EE31" s="117">
        <f>SUM([5]FC!$AV$16:$AV$58)/1000</f>
        <v>0</v>
      </c>
      <c r="EF31" s="117">
        <f>SUM([5]FC!$AW$16:$AW$58)/1000</f>
        <v>0</v>
      </c>
      <c r="EG31" s="19"/>
      <c r="EH31" s="19"/>
      <c r="EI31" s="19"/>
      <c r="EJ31" s="117">
        <f>SUM([5]FC!$AX$16:$AX$58)/1000</f>
        <v>0</v>
      </c>
      <c r="EK31" s="117">
        <f>SUM([5]FC!$AY$16:$AY$58)/1000</f>
        <v>0</v>
      </c>
      <c r="EO31" s="13" t="s">
        <v>26</v>
      </c>
      <c r="EP31" s="117">
        <f>SUM([5]AC!$AV$16:$AV$58)/1000-AJ31</f>
        <v>2404.2663663731464</v>
      </c>
      <c r="EQ31" s="117">
        <f>SUM([5]AC!$AW$16:$AW$58)/1000-AK31</f>
        <v>2715.6905976577118</v>
      </c>
      <c r="ER31" s="19"/>
      <c r="ES31" s="19"/>
      <c r="ET31" s="19"/>
      <c r="EU31" s="117">
        <f>SUM([5]AC!$AX$16:$AX$58)/1000-AO31</f>
        <v>1368.8352646308304</v>
      </c>
      <c r="EV31" s="117">
        <f>SUM([5]AC!$AY$16:$AY$58)/1000-AP31</f>
        <v>1696.411227189993</v>
      </c>
      <c r="EZ31" s="13" t="s">
        <v>26</v>
      </c>
      <c r="FA31" s="117">
        <f>SUM([6]AC!$AV$16:$AV$58)/1000</f>
        <v>-1.2853871221127717E-12</v>
      </c>
      <c r="FB31" s="117">
        <f>SUM([6]AC!$AW$16:$AW$58)/1000</f>
        <v>0</v>
      </c>
      <c r="FC31" s="19"/>
      <c r="FD31" s="19"/>
      <c r="FE31" s="19"/>
      <c r="FF31" s="117">
        <f>SUM([6]AC!$AX$16:$AX$58)/1000</f>
        <v>0</v>
      </c>
      <c r="FG31" s="117">
        <f>SUM([6]AC!$AY$16:$AY$58)/1000</f>
        <v>0</v>
      </c>
      <c r="FH31"/>
      <c r="FI31"/>
      <c r="FJ31"/>
      <c r="FK31" s="13" t="s">
        <v>26</v>
      </c>
      <c r="FL31" s="117">
        <f>EP31-FA31</f>
        <v>2404.2663663731478</v>
      </c>
      <c r="FM31" s="117">
        <f>EQ31-FB31</f>
        <v>2715.6905976577118</v>
      </c>
      <c r="FN31" s="19"/>
      <c r="FO31" s="19"/>
      <c r="FP31" s="19"/>
      <c r="FQ31" s="117">
        <f>EU31-FF31</f>
        <v>1368.8352646308304</v>
      </c>
      <c r="FR31" s="117">
        <f>EV31-FG31</f>
        <v>1696.411227189993</v>
      </c>
    </row>
    <row r="32" spans="2:176" s="5" customFormat="1" ht="27.6" x14ac:dyDescent="0.3">
      <c r="B32" s="14" t="s">
        <v>22</v>
      </c>
      <c r="C32" s="116">
        <f>IFERROR(C30/C31,0)</f>
        <v>3.7891056486046584E-2</v>
      </c>
      <c r="D32" s="116">
        <f>IFERROR(D30/D31,0)</f>
        <v>3.9170621336967769E-2</v>
      </c>
      <c r="E32" s="114"/>
      <c r="F32" s="114"/>
      <c r="G32" s="114"/>
      <c r="H32" s="116">
        <f>IFERROR(H30/H31,0)</f>
        <v>3.6621701626880526E-2</v>
      </c>
      <c r="I32" s="116">
        <f>IFERROR(I30/I31,0)</f>
        <v>3.458482113533707E-2</v>
      </c>
      <c r="M32" s="14" t="s">
        <v>22</v>
      </c>
      <c r="N32" s="116">
        <f>IFERROR(N30/N31,0)</f>
        <v>0.10520297968989992</v>
      </c>
      <c r="O32" s="116">
        <f>IFERROR(O30/O31,0)</f>
        <v>0.10486010118758175</v>
      </c>
      <c r="P32" s="114"/>
      <c r="Q32" s="114"/>
      <c r="R32" s="114"/>
      <c r="S32" s="116">
        <f>IFERROR(S30/S31,0)</f>
        <v>0.1011803235848872</v>
      </c>
      <c r="T32" s="116">
        <f>IFERROR(T30/T31,0)</f>
        <v>9.7979086319123249E-2</v>
      </c>
      <c r="X32" s="14" t="s">
        <v>22</v>
      </c>
      <c r="Y32" s="116">
        <f>IFERROR(Y30/Y31,0)</f>
        <v>5.3763131870446441E-4</v>
      </c>
      <c r="Z32" s="116">
        <f>IFERROR(Z30/Z31,0)</f>
        <v>3.0987437536227486E-3</v>
      </c>
      <c r="AA32" s="114"/>
      <c r="AB32" s="114"/>
      <c r="AC32" s="114"/>
      <c r="AD32" s="116">
        <f>IFERROR(AD30/AD31,0)</f>
        <v>3.2241027275879803E-3</v>
      </c>
      <c r="AE32" s="116">
        <f>IFERROR(AE30/AE31,0)</f>
        <v>3.3390297698847791E-3</v>
      </c>
      <c r="AI32" s="14" t="s">
        <v>22</v>
      </c>
      <c r="AJ32" s="116">
        <f>IFERROR(AJ30/AJ31,0)</f>
        <v>2.4961509999999999E-4</v>
      </c>
      <c r="AK32" s="116">
        <f>IFERROR(AK30/AK31,0)</f>
        <v>0</v>
      </c>
      <c r="AL32" s="114"/>
      <c r="AM32" s="114"/>
      <c r="AN32" s="114"/>
      <c r="AO32" s="116">
        <f>IFERROR(AO30/AO31,0)</f>
        <v>0</v>
      </c>
      <c r="AP32" s="116">
        <f>IFERROR(AP30/AP31,0)</f>
        <v>0</v>
      </c>
      <c r="AS32" s="115"/>
      <c r="AT32" s="14" t="s">
        <v>22</v>
      </c>
      <c r="AU32" s="116">
        <f>IFERROR(AU30/AU31,0)</f>
        <v>0</v>
      </c>
      <c r="AV32" s="116">
        <f>IFERROR(AV30/AV31,0)</f>
        <v>0</v>
      </c>
      <c r="AW32" s="114"/>
      <c r="AX32" s="114"/>
      <c r="AY32" s="114"/>
      <c r="AZ32" s="116">
        <f>IFERROR(AZ30/AZ31,0)</f>
        <v>0</v>
      </c>
      <c r="BA32" s="116">
        <f>IFERROR(BA30/BA31,0)</f>
        <v>0</v>
      </c>
      <c r="BD32" s="115"/>
      <c r="BE32" s="14" t="s">
        <v>22</v>
      </c>
      <c r="BF32" s="116">
        <f>IFERROR(BF30/BF31,0)</f>
        <v>0</v>
      </c>
      <c r="BG32" s="116">
        <f>IFERROR(BG30/BG31,0)</f>
        <v>0</v>
      </c>
      <c r="BH32" s="114"/>
      <c r="BI32" s="114"/>
      <c r="BJ32" s="114"/>
      <c r="BK32" s="116">
        <f>IFERROR(BK30/BK31,0)</f>
        <v>0</v>
      </c>
      <c r="BL32" s="116">
        <f>IFERROR(BL30/BL31,0)</f>
        <v>0</v>
      </c>
      <c r="BP32" s="14" t="s">
        <v>22</v>
      </c>
      <c r="BQ32" s="116">
        <f>IFERROR(BQ30/BQ31,0)</f>
        <v>5.3920548951697195E-4</v>
      </c>
      <c r="BR32" s="116">
        <f>IFERROR(BR30/BR31,0)</f>
        <v>3.169678240178244E-3</v>
      </c>
      <c r="BS32" s="114"/>
      <c r="BT32" s="114"/>
      <c r="BU32" s="114"/>
      <c r="BV32" s="116">
        <f>IFERROR(BV30/BV31,0)</f>
        <v>3.4052445041871052E-3</v>
      </c>
      <c r="BW32" s="116">
        <f>IFERROR(BW30/BW31,0)</f>
        <v>3.5122695459661357E-3</v>
      </c>
      <c r="CA32" s="14" t="s">
        <v>22</v>
      </c>
      <c r="CB32" s="116">
        <f>IFERROR(CB30/CB31,0)</f>
        <v>2.3204873482323284E-3</v>
      </c>
      <c r="CC32" s="116">
        <f>IFERROR(CC30/CC31,0)</f>
        <v>3.9791563400372754E-3</v>
      </c>
      <c r="CD32" s="114"/>
      <c r="CE32" s="114"/>
      <c r="CF32" s="114"/>
      <c r="CG32" s="116">
        <f>IFERROR(CG30/CG31,0)</f>
        <v>4.2589930085697855E-3</v>
      </c>
      <c r="CH32" s="116">
        <f>IFERROR(CH30/CH31,0)</f>
        <v>4.2906022381957723E-3</v>
      </c>
      <c r="CL32" s="14" t="s">
        <v>22</v>
      </c>
      <c r="CM32" s="116">
        <f>IFERROR(CM30/CM31,0)</f>
        <v>4.6834857861063868E-3</v>
      </c>
      <c r="CN32" s="116">
        <f>IFERROR(CN30/CN31,0)</f>
        <v>5.6123697607573172E-3</v>
      </c>
      <c r="CO32" s="114"/>
      <c r="CP32" s="114"/>
      <c r="CQ32" s="114"/>
      <c r="CR32" s="116">
        <f>IFERROR(CR30/CR31,0)</f>
        <v>6.363695005242205E-3</v>
      </c>
      <c r="CS32" s="116">
        <f>IFERROR(CS30/CS31,0)</f>
        <v>6.8409115949766754E-3</v>
      </c>
      <c r="CW32" s="14" t="s">
        <v>22</v>
      </c>
      <c r="CX32" s="116">
        <f>IFERROR(CX30/CX31,0)</f>
        <v>1.1515548230796922E-3</v>
      </c>
      <c r="CY32" s="116">
        <f>IFERROR(CY30/CY31,0)</f>
        <v>3.177194539333249E-3</v>
      </c>
      <c r="CZ32" s="114"/>
      <c r="DA32" s="114"/>
      <c r="DB32" s="114"/>
      <c r="DC32" s="116">
        <f>IFERROR(DC30/DC31,0)</f>
        <v>3.2470604279903649E-3</v>
      </c>
      <c r="DD32" s="116">
        <f>IFERROR(DD30/DD31,0)</f>
        <v>3.0700037716461831E-3</v>
      </c>
      <c r="DH32" s="14" t="s">
        <v>22</v>
      </c>
      <c r="DI32" s="116">
        <f>IFERROR(DI30/DI31,0)</f>
        <v>-9.6450683907903169E-5</v>
      </c>
      <c r="DJ32" s="116">
        <f>IFERROR(DJ30/DJ31,0)</f>
        <v>1.1831866715213239E-3</v>
      </c>
      <c r="DK32" s="114"/>
      <c r="DL32" s="114"/>
      <c r="DM32" s="114"/>
      <c r="DN32" s="116">
        <f>IFERROR(DN30/DN31,0)</f>
        <v>7.4215985145184701E-4</v>
      </c>
      <c r="DO32" s="116">
        <f>IFERROR(DO30/DO31,0)</f>
        <v>8.964816859630692E-4</v>
      </c>
      <c r="DS32" s="14" t="s">
        <v>22</v>
      </c>
      <c r="DT32" s="116">
        <f>IFERROR(DT30/DT31,0)</f>
        <v>192.22776774193551</v>
      </c>
      <c r="DU32" s="116">
        <f>IFERROR(DU30/DU31,0)</f>
        <v>0</v>
      </c>
      <c r="DV32" s="114"/>
      <c r="DW32" s="114"/>
      <c r="DX32" s="114"/>
      <c r="DY32" s="116">
        <f>IFERROR(DY30/DY31,0)</f>
        <v>0</v>
      </c>
      <c r="DZ32" s="116">
        <f>IFERROR(DZ30/DZ31,0)</f>
        <v>0</v>
      </c>
      <c r="ED32" s="14" t="s">
        <v>22</v>
      </c>
      <c r="EE32" s="116">
        <f>IFERROR(EE30/EE31,0)</f>
        <v>0</v>
      </c>
      <c r="EF32" s="116">
        <f>IFERROR(EF30/EF31,0)</f>
        <v>0</v>
      </c>
      <c r="EG32" s="114"/>
      <c r="EH32" s="114"/>
      <c r="EI32" s="114"/>
      <c r="EJ32" s="116">
        <f>IFERROR(EJ30/EJ31,0)</f>
        <v>0</v>
      </c>
      <c r="EK32" s="116">
        <f>IFERROR(EK30/EK31,0)</f>
        <v>0</v>
      </c>
      <c r="EO32" s="14" t="s">
        <v>22</v>
      </c>
      <c r="EP32" s="116">
        <f>IFERROR(EP30/EP31,0)</f>
        <v>-2.82966431887001E-2</v>
      </c>
      <c r="EQ32" s="116">
        <f>IFERROR(EQ30/EQ31,0)</f>
        <v>-1.7144804422774813E-3</v>
      </c>
      <c r="ER32" s="114"/>
      <c r="ES32" s="114"/>
      <c r="ET32" s="114"/>
      <c r="EU32" s="116">
        <f>IFERROR(EU30/EU31,0)</f>
        <v>-3.2139176000471497E-3</v>
      </c>
      <c r="EV32" s="116">
        <f>IFERROR(EV30/EV31,0)</f>
        <v>-7.5256932998556136E-4</v>
      </c>
      <c r="EZ32" s="14" t="s">
        <v>22</v>
      </c>
      <c r="FA32" s="116">
        <f>IFERROR(FA30/FA31,0)</f>
        <v>0</v>
      </c>
      <c r="FB32" s="116">
        <f>IFERROR(FB30/FB31,0)</f>
        <v>0</v>
      </c>
      <c r="FC32" s="114"/>
      <c r="FD32" s="114"/>
      <c r="FE32" s="114"/>
      <c r="FF32" s="116">
        <f>IFERROR(FF30/FF31,0)</f>
        <v>0</v>
      </c>
      <c r="FG32" s="116">
        <f>IFERROR(FG30/FG31,0)</f>
        <v>0</v>
      </c>
      <c r="FK32" s="14" t="s">
        <v>22</v>
      </c>
      <c r="FL32" s="116">
        <f>IFERROR(FL30/FL31,0)</f>
        <v>-2.8296643188700083E-2</v>
      </c>
      <c r="FM32" s="116">
        <f>IFERROR(FM30/FM31,0)</f>
        <v>-1.7144804422774813E-3</v>
      </c>
      <c r="FN32" s="114"/>
      <c r="FO32" s="114"/>
      <c r="FP32" s="114"/>
      <c r="FQ32" s="116">
        <f>IFERROR(FQ30/FQ31,0)</f>
        <v>-3.2139176000471497E-3</v>
      </c>
      <c r="FR32" s="116">
        <f>IFERROR(FR30/FR31,0)</f>
        <v>-7.5256932998556136E-4</v>
      </c>
    </row>
    <row r="33" spans="2:174" x14ac:dyDescent="0.3">
      <c r="B33" s="13" t="s">
        <v>20</v>
      </c>
      <c r="C33" s="117">
        <f>C23</f>
        <v>1015.5111344686788</v>
      </c>
      <c r="D33" s="117">
        <f>D23</f>
        <v>678.28175009649453</v>
      </c>
      <c r="E33" s="19"/>
      <c r="F33" s="19"/>
      <c r="G33" s="19"/>
      <c r="H33" s="117">
        <f>H23</f>
        <v>884.02813520529901</v>
      </c>
      <c r="I33" s="117">
        <f>I23</f>
        <v>1190.1127326048004</v>
      </c>
      <c r="M33" s="13" t="s">
        <v>20</v>
      </c>
      <c r="N33" s="117">
        <f>N23</f>
        <v>912.43618253045054</v>
      </c>
      <c r="O33" s="117">
        <f>O23</f>
        <v>779.44759891625688</v>
      </c>
      <c r="P33" s="19"/>
      <c r="Q33" s="19"/>
      <c r="R33" s="19"/>
      <c r="S33" s="117">
        <f>S23</f>
        <v>846.32453986962867</v>
      </c>
      <c r="T33" s="117">
        <f>T23</f>
        <v>999.75670286038826</v>
      </c>
      <c r="X33" s="13" t="s">
        <v>20</v>
      </c>
      <c r="Y33" s="117">
        <f>Y23</f>
        <v>103.0749519382292</v>
      </c>
      <c r="Z33" s="117">
        <f>Z23</f>
        <v>-101.16584881976068</v>
      </c>
      <c r="AA33" s="19"/>
      <c r="AB33" s="19"/>
      <c r="AC33" s="19"/>
      <c r="AD33" s="117">
        <f>AD23</f>
        <v>37.703595335669391</v>
      </c>
      <c r="AE33" s="117">
        <f>AE23</f>
        <v>190.3560297444123</v>
      </c>
      <c r="AI33" s="13" t="s">
        <v>20</v>
      </c>
      <c r="AJ33" s="117">
        <f>AJ23</f>
        <v>-313.77833040369705</v>
      </c>
      <c r="AK33" s="117">
        <f>AK23</f>
        <v>-330.87351620718755</v>
      </c>
      <c r="AL33" s="19"/>
      <c r="AM33" s="19"/>
      <c r="AN33" s="19"/>
      <c r="AO33" s="117">
        <f>AO23</f>
        <v>-311.1770705415629</v>
      </c>
      <c r="AP33" s="117">
        <f>AP23</f>
        <v>-322.04120021259507</v>
      </c>
      <c r="AT33" s="13" t="s">
        <v>20</v>
      </c>
      <c r="AU33" s="117">
        <f>AU23</f>
        <v>-67.548205072618117</v>
      </c>
      <c r="AV33" s="117">
        <f>AV23</f>
        <v>-92.56012085784343</v>
      </c>
      <c r="AW33" s="19"/>
      <c r="AX33" s="19"/>
      <c r="AY33" s="19"/>
      <c r="AZ33" s="117">
        <f>AZ23</f>
        <v>-89.3923494855987</v>
      </c>
      <c r="BA33" s="117">
        <f>BA23</f>
        <v>-94.307985808838367</v>
      </c>
      <c r="BE33" s="13" t="s">
        <v>20</v>
      </c>
      <c r="BF33" s="117">
        <f>BF23</f>
        <v>-246.23012533107894</v>
      </c>
      <c r="BG33" s="117">
        <f>BG23</f>
        <v>-238.31339534934409</v>
      </c>
      <c r="BH33" s="19"/>
      <c r="BI33" s="19"/>
      <c r="BJ33" s="19"/>
      <c r="BK33" s="117">
        <f>BK23</f>
        <v>-221.7847210559641</v>
      </c>
      <c r="BL33" s="117">
        <f>BL23</f>
        <v>-227.73321440375668</v>
      </c>
      <c r="BP33" s="13" t="s">
        <v>20</v>
      </c>
      <c r="BQ33" s="117">
        <f>BQ23</f>
        <v>416.85328234192639</v>
      </c>
      <c r="BR33" s="117">
        <f>BR23</f>
        <v>229.70766738742674</v>
      </c>
      <c r="BS33" s="19"/>
      <c r="BT33" s="19"/>
      <c r="BU33" s="19"/>
      <c r="BV33" s="117">
        <f>BV23</f>
        <v>348.88066587723245</v>
      </c>
      <c r="BW33" s="117">
        <f>BW23</f>
        <v>512.39722995700777</v>
      </c>
      <c r="CA33" s="13" t="s">
        <v>20</v>
      </c>
      <c r="CB33" s="117">
        <f>CB23</f>
        <v>-58.872177615012006</v>
      </c>
      <c r="CC33" s="117">
        <f>CC23</f>
        <v>45.107386134302459</v>
      </c>
      <c r="CD33" s="19"/>
      <c r="CE33" s="19"/>
      <c r="CF33" s="19"/>
      <c r="CG33" s="117">
        <f>CG23</f>
        <v>230.25784726694499</v>
      </c>
      <c r="CH33" s="117">
        <f>CH23</f>
        <v>406.0938937669697</v>
      </c>
      <c r="CL33" s="13" t="s">
        <v>20</v>
      </c>
      <c r="CM33" s="117">
        <f>CM23</f>
        <v>-305.2247286536674</v>
      </c>
      <c r="CN33" s="117">
        <f>CN23</f>
        <v>-205.44257632143353</v>
      </c>
      <c r="CO33" s="19"/>
      <c r="CP33" s="19"/>
      <c r="CQ33" s="19"/>
      <c r="CR33" s="117">
        <f>CR23</f>
        <v>-97.368325547253647</v>
      </c>
      <c r="CS33" s="117">
        <f>CS23</f>
        <v>-10.52049601191765</v>
      </c>
      <c r="CW33" s="13" t="s">
        <v>20</v>
      </c>
      <c r="CX33" s="117">
        <f>CX23</f>
        <v>246.3525510386556</v>
      </c>
      <c r="CY33" s="117">
        <f>CY23</f>
        <v>250.54996245573602</v>
      </c>
      <c r="CZ33" s="19"/>
      <c r="DA33" s="19"/>
      <c r="DB33" s="19"/>
      <c r="DC33" s="117">
        <f>DC23</f>
        <v>327.6261728141983</v>
      </c>
      <c r="DD33" s="117">
        <f>DD23</f>
        <v>416.61438977888747</v>
      </c>
      <c r="DH33" s="13" t="s">
        <v>20</v>
      </c>
      <c r="DI33" s="117">
        <f>DI23</f>
        <v>145.39085365207632</v>
      </c>
      <c r="DJ33" s="117">
        <f>DJ23</f>
        <v>141.42699542598942</v>
      </c>
      <c r="DK33" s="19"/>
      <c r="DL33" s="19"/>
      <c r="DM33" s="19"/>
      <c r="DN33" s="117">
        <f>DN23</f>
        <v>142.54932912801914</v>
      </c>
      <c r="DO33" s="117">
        <f>DO23</f>
        <v>155.72459274953073</v>
      </c>
      <c r="DS33" s="13" t="s">
        <v>20</v>
      </c>
      <c r="DT33" s="117">
        <f>DT23</f>
        <v>-11.157395869021052</v>
      </c>
      <c r="DU33" s="117">
        <f>DU23</f>
        <v>-7.5277804541629774</v>
      </c>
      <c r="DV33" s="19"/>
      <c r="DW33" s="19"/>
      <c r="DX33" s="19"/>
      <c r="DY33" s="117">
        <f>DY23</f>
        <v>-3.2286819441662278</v>
      </c>
      <c r="DZ33" s="117">
        <f>DZ23</f>
        <v>1.3566636392064642</v>
      </c>
      <c r="ED33" s="13" t="s">
        <v>20</v>
      </c>
      <c r="EE33" s="117">
        <f>EE23</f>
        <v>19.526518515641659</v>
      </c>
      <c r="EF33" s="117">
        <f>EF23</f>
        <v>19.696827587935779</v>
      </c>
      <c r="EG33" s="19"/>
      <c r="EH33" s="19"/>
      <c r="EI33" s="19"/>
      <c r="EJ33" s="117">
        <f>EJ23</f>
        <v>3.1562396576966574</v>
      </c>
      <c r="EK33" s="117">
        <f>EK23</f>
        <v>-6.2799374142978248</v>
      </c>
      <c r="EO33" s="13" t="s">
        <v>20</v>
      </c>
      <c r="EP33" s="117">
        <f>EP23</f>
        <v>321.9654836582414</v>
      </c>
      <c r="EQ33" s="117">
        <f>EQ23</f>
        <v>31.004238693361962</v>
      </c>
      <c r="ER33" s="19"/>
      <c r="ES33" s="19"/>
      <c r="ET33" s="19"/>
      <c r="EU33" s="117">
        <f>EU23</f>
        <v>-23.854068231262588</v>
      </c>
      <c r="EV33" s="117">
        <f>EV23</f>
        <v>-44.497982784401103</v>
      </c>
      <c r="EZ33" s="13" t="s">
        <v>20</v>
      </c>
      <c r="FA33" s="117">
        <f>FA23</f>
        <v>-66.62585938423301</v>
      </c>
      <c r="FB33" s="117">
        <f>FB23</f>
        <v>-193.45911544160037</v>
      </c>
      <c r="FC33" s="19"/>
      <c r="FD33" s="19"/>
      <c r="FE33" s="19"/>
      <c r="FF33" s="117">
        <f>FF23</f>
        <v>-254.77195819602181</v>
      </c>
      <c r="FG33" s="117">
        <f>FG23</f>
        <v>-272.81498650937169</v>
      </c>
      <c r="FK33" s="13" t="s">
        <v>20</v>
      </c>
      <c r="FL33" s="117">
        <f>FL23</f>
        <v>388.59134304247448</v>
      </c>
      <c r="FM33" s="117">
        <f>FM23</f>
        <v>224.46335413496234</v>
      </c>
      <c r="FN33" s="19"/>
      <c r="FO33" s="19"/>
      <c r="FP33" s="19"/>
      <c r="FQ33" s="117">
        <f>FQ23</f>
        <v>230.91788996475918</v>
      </c>
      <c r="FR33" s="117">
        <f>FR23</f>
        <v>228.31700372497062</v>
      </c>
    </row>
    <row r="34" spans="2:174" x14ac:dyDescent="0.3">
      <c r="B34" s="13" t="s">
        <v>27</v>
      </c>
      <c r="C34" s="117">
        <f>'Capital Plan'!C11</f>
        <v>89966.126724348564</v>
      </c>
      <c r="D34" s="117">
        <f>'Capital Plan'!D11</f>
        <v>95926.189581732848</v>
      </c>
      <c r="E34" s="19"/>
      <c r="F34" s="19"/>
      <c r="G34" s="19"/>
      <c r="H34" s="117">
        <f>'Capital Plan'!H11</f>
        <v>100750.34168226724</v>
      </c>
      <c r="I34" s="117">
        <f>'Capital Plan'!I11</f>
        <v>106176.2597177538</v>
      </c>
      <c r="M34" s="13" t="s">
        <v>27</v>
      </c>
      <c r="N34" s="117">
        <f>'Capital Plan'!N11</f>
        <v>35298.273621057822</v>
      </c>
      <c r="O34" s="117">
        <f>'Capital Plan'!O11</f>
        <v>36546.880254631411</v>
      </c>
      <c r="P34" s="19"/>
      <c r="Q34" s="19"/>
      <c r="R34" s="19"/>
      <c r="S34" s="117">
        <f>'Capital Plan'!S11</f>
        <v>37961.744287403344</v>
      </c>
      <c r="T34" s="117">
        <f>'Capital Plan'!T11</f>
        <v>38632.766712718396</v>
      </c>
      <c r="X34" s="13" t="s">
        <v>27</v>
      </c>
      <c r="Y34" s="117">
        <f>AJ34+BQ34</f>
        <v>56068.377807554563</v>
      </c>
      <c r="Z34" s="117">
        <f>AK34+BR34</f>
        <v>59379.309327101451</v>
      </c>
      <c r="AA34" s="19"/>
      <c r="AB34" s="19"/>
      <c r="AC34" s="19"/>
      <c r="AD34" s="117">
        <f>AO34+BV34</f>
        <v>62788.597394863908</v>
      </c>
      <c r="AE34" s="117">
        <f>AP34+BW34</f>
        <v>67543.493005035401</v>
      </c>
      <c r="AI34" s="13" t="s">
        <v>27</v>
      </c>
      <c r="AJ34" s="117">
        <f>'Capital Plan'!AJ11</f>
        <v>114</v>
      </c>
      <c r="AK34" s="117">
        <f>'Capital Plan'!AK11</f>
        <v>114</v>
      </c>
      <c r="AL34" s="19"/>
      <c r="AM34" s="19"/>
      <c r="AN34" s="19"/>
      <c r="AO34" s="117">
        <f>'Capital Plan'!AO11</f>
        <v>114</v>
      </c>
      <c r="AP34" s="117">
        <f>'Capital Plan'!AP11</f>
        <v>114</v>
      </c>
      <c r="AT34" s="13" t="s">
        <v>27</v>
      </c>
      <c r="AU34" s="117"/>
      <c r="AV34" s="117"/>
      <c r="AW34" s="19"/>
      <c r="AX34" s="19"/>
      <c r="AY34" s="19"/>
      <c r="AZ34" s="117"/>
      <c r="BA34" s="117"/>
      <c r="BE34" s="13" t="s">
        <v>27</v>
      </c>
      <c r="BF34" s="113"/>
      <c r="BG34" s="113"/>
      <c r="BH34" s="19"/>
      <c r="BI34" s="19"/>
      <c r="BJ34" s="19"/>
      <c r="BK34" s="113"/>
      <c r="BL34" s="113"/>
      <c r="BP34" s="13" t="s">
        <v>27</v>
      </c>
      <c r="BQ34" s="120">
        <f>'[7]TOTAL COUNT'!$AA$821/1000000</f>
        <v>55954.377807554563</v>
      </c>
      <c r="BR34" s="120">
        <f>'[7]TOTAL COUNT'!$AM$821/1000000</f>
        <v>59265.309327101451</v>
      </c>
      <c r="BS34" s="19"/>
      <c r="BT34" s="19"/>
      <c r="BU34" s="19"/>
      <c r="BV34" s="120">
        <f>'[7]TOTAL COUNT'!$AY$821/1000000</f>
        <v>62674.597394863908</v>
      </c>
      <c r="BW34" s="120">
        <f>'[7]TOTAL COUNT'!$BK$821/1000000</f>
        <v>67429.493005035401</v>
      </c>
      <c r="CA34" s="13" t="s">
        <v>27</v>
      </c>
      <c r="CB34" s="117">
        <f>CM34+CX34</f>
        <v>35265.471197151775</v>
      </c>
      <c r="CC34" s="117">
        <f>CN34+CY34</f>
        <v>37402.69912762793</v>
      </c>
      <c r="CD34" s="19"/>
      <c r="CE34" s="19"/>
      <c r="CF34" s="19"/>
      <c r="CG34" s="117">
        <f>CR34+DC34</f>
        <v>41326.714122989077</v>
      </c>
      <c r="CH34" s="117">
        <f>CS34+DD34</f>
        <v>45260.413573320118</v>
      </c>
      <c r="CL34" s="13" t="s">
        <v>27</v>
      </c>
      <c r="CM34" s="120">
        <f>('[7]1.Individuals'!$AA$824+'[7]3.RV &amp; Marine Initiat'!$AA$824)/1000000</f>
        <v>8406.359807066141</v>
      </c>
      <c r="CN34" s="120">
        <f>('[7]1.Individuals'!$AM$824+'[7]3.RV &amp; Marine Initiat'!$AM$824)/1000000</f>
        <v>8499.8187799924872</v>
      </c>
      <c r="CO34" s="19"/>
      <c r="CP34" s="19"/>
      <c r="CQ34" s="19"/>
      <c r="CR34" s="120">
        <f>('[7]1.Individuals'!$AY$824+'[7]3.RV &amp; Marine Initiat'!$AY$824)/1000000</f>
        <v>8939.6258365330923</v>
      </c>
      <c r="CS34" s="120">
        <f>('[7]1.Individuals'!$BK$824+'[7]3.RV &amp; Marine Initiat'!$BK$824)/1000000</f>
        <v>9451.3799504559374</v>
      </c>
      <c r="CW34" s="13" t="s">
        <v>27</v>
      </c>
      <c r="CX34" s="120">
        <f>([7]B_COMMERCIAL!$AA$824+[7]B_CREB!$AA$824-'[7]11.Government Banking'!$AA$824+[7]D_AUTOFINANCE!$AA$824-'[7]18.Leasing'!$AA$824+'[7]2.SBB'!$AA$824)/1000000</f>
        <v>26859.111390085636</v>
      </c>
      <c r="CY34" s="120">
        <f>([7]B_COMMERCIAL!$AM$824+[7]B_CREB!$AM$824-'[7]11.Government Banking'!$AM$824+[7]D_AUTOFINANCE!$AM$824-'[7]18.Leasing'!$AM$824+'[7]2.SBB'!$AM$824)/1000000</f>
        <v>28902.880347635441</v>
      </c>
      <c r="CZ34" s="19"/>
      <c r="DA34" s="19"/>
      <c r="DB34" s="19"/>
      <c r="DC34" s="120">
        <f>([7]B_COMMERCIAL!$AY$824+[7]B_CREB!$AY$824-'[7]11.Government Banking'!$AY$824+[7]D_AUTOFINANCE!$AY$824-'[7]18.Leasing'!$AY$824+'[7]2.SBB'!$AY$824)/1000000</f>
        <v>32387.088286455986</v>
      </c>
      <c r="DD34" s="120">
        <f>([7]B_COMMERCIAL!$BK$824+[7]B_CREB!$BK$824-'[7]11.Government Banking'!$BK$824+[7]D_AUTOFINANCE!$BK$824-'[7]18.Leasing'!$BK$824+'[7]2.SBB'!$BK$824)/1000000</f>
        <v>35809.033622864183</v>
      </c>
      <c r="DH34" s="13" t="s">
        <v>27</v>
      </c>
      <c r="DI34" s="120">
        <f>[7]C_GBM!$AA$824/1000000</f>
        <v>13470.253989984978</v>
      </c>
      <c r="DJ34" s="120">
        <f>[7]C_GBM!$AM$824/1000000</f>
        <v>15384.678484966529</v>
      </c>
      <c r="DK34" s="19"/>
      <c r="DL34" s="19"/>
      <c r="DM34" s="19"/>
      <c r="DN34" s="120">
        <f>[7]C_GBM!$AY$824/1000000</f>
        <v>15929.395380802849</v>
      </c>
      <c r="DO34" s="120">
        <f>[7]C_GBM!$BK$824/1000000</f>
        <v>17368.943407723713</v>
      </c>
      <c r="DS34" s="13" t="s">
        <v>27</v>
      </c>
      <c r="DT34" s="120">
        <f>'[7]11.Government Banking'!$AA$824/1000000</f>
        <v>34.044259808368025</v>
      </c>
      <c r="DU34" s="120">
        <f>'[7]11.Government Banking'!$AM$824/1000000</f>
        <v>34.277637461107076</v>
      </c>
      <c r="DV34" s="19"/>
      <c r="DW34" s="19"/>
      <c r="DX34" s="19"/>
      <c r="DY34" s="120">
        <f>'[7]11.Government Banking'!$AY$824/1000000</f>
        <v>35.656569340562136</v>
      </c>
      <c r="DZ34" s="120">
        <f>'[7]11.Government Banking'!$BK$824/1000000</f>
        <v>35.690324902638523</v>
      </c>
      <c r="ED34" s="13" t="s">
        <v>27</v>
      </c>
      <c r="EE34" s="120">
        <f>'[7]18.Leasing'!$AA$824/1000000</f>
        <v>2039.6367618805662</v>
      </c>
      <c r="EF34" s="120">
        <f>'[7]18.Leasing'!$AM$824/1000000</f>
        <v>1470.133952936578</v>
      </c>
      <c r="EG34" s="19"/>
      <c r="EH34" s="19"/>
      <c r="EI34" s="19"/>
      <c r="EJ34" s="120">
        <f>'[7]18.Leasing'!$AY$824/1000000</f>
        <v>698.40355216062687</v>
      </c>
      <c r="EK34" s="120">
        <f>'[7]18.Leasing'!$BK$824/1000000</f>
        <v>316.69275749173016</v>
      </c>
      <c r="EO34" s="13" t="s">
        <v>27</v>
      </c>
      <c r="EP34" s="117">
        <f>FA34+FL34</f>
        <v>5144.9715987288728</v>
      </c>
      <c r="EQ34" s="117">
        <f>FB34+FM34</f>
        <v>4973.5201241093082</v>
      </c>
      <c r="ER34" s="19"/>
      <c r="ES34" s="19"/>
      <c r="ET34" s="19"/>
      <c r="EU34" s="117">
        <f>FF34+FQ34</f>
        <v>4684.4277695707879</v>
      </c>
      <c r="EV34" s="117">
        <f>FG34+FR34</f>
        <v>4447.7529415972149</v>
      </c>
      <c r="EZ34" s="13" t="s">
        <v>27</v>
      </c>
      <c r="FA34" s="117">
        <f>('[7]31. ALCOPool'!$AA$824+'[7]28. ALM'!$AA$824)/1000000</f>
        <v>3443.7326317791872</v>
      </c>
      <c r="FB34" s="117">
        <f>('[7]31. ALCOPool'!$AM$824+'[7]28. ALM'!$AM$824)/1000000</f>
        <v>3325.611067225128</v>
      </c>
      <c r="FC34" s="19"/>
      <c r="FD34" s="19"/>
      <c r="FE34" s="19"/>
      <c r="FF34" s="117">
        <f>('[7]31. ALCOPool'!$AY$824+'[7]28. ALM'!$AY$824)/1000000</f>
        <v>3059.9859810916405</v>
      </c>
      <c r="FG34" s="117">
        <f>('[7]31. ALCOPool'!$BK$824+'[7]28. ALM'!$BK$824)/1000000</f>
        <v>2854.7289950143449</v>
      </c>
      <c r="FK34" s="13" t="s">
        <v>27</v>
      </c>
      <c r="FL34" s="120">
        <f>('[7]29.Corporate Center'!$AA$824+[7]I_SPECIALIZED!$AA$824)/1000000</f>
        <v>1701.2389669496852</v>
      </c>
      <c r="FM34" s="120">
        <f>('[7]29.Corporate Center'!$AM$824+[7]I_SPECIALIZED!$AM$824)/1000000</f>
        <v>1647.9090568841805</v>
      </c>
      <c r="FN34" s="19"/>
      <c r="FO34" s="19"/>
      <c r="FP34" s="19"/>
      <c r="FQ34" s="120">
        <f>('[7]29.Corporate Center'!$AY$824+[7]I_SPECIALIZED!$AY$824)/1000000</f>
        <v>1624.4417884791478</v>
      </c>
      <c r="FR34" s="120">
        <f>('[7]29.Corporate Center'!$BK$824+[7]I_SPECIALIZED!$BK$824)/1000000</f>
        <v>1593.0239465828699</v>
      </c>
    </row>
    <row r="35" spans="2:174" s="5" customFormat="1" x14ac:dyDescent="0.3">
      <c r="B35" s="14" t="s">
        <v>23</v>
      </c>
      <c r="C35" s="116">
        <f>IFERROR(C33/C34,0)</f>
        <v>1.1287705400279719E-2</v>
      </c>
      <c r="D35" s="116">
        <f>IFERROR(D33/D34,0)</f>
        <v>7.0708713965811397E-3</v>
      </c>
      <c r="E35" s="114"/>
      <c r="F35" s="114"/>
      <c r="G35" s="114"/>
      <c r="H35" s="116">
        <f>IFERROR(H33/H34,0)</f>
        <v>8.7744430484734924E-3</v>
      </c>
      <c r="I35" s="116">
        <f>IFERROR(I33/I34,0)</f>
        <v>1.1208840241391559E-2</v>
      </c>
      <c r="M35" s="14" t="s">
        <v>23</v>
      </c>
      <c r="N35" s="116">
        <f>IFERROR(N33/N34,0)</f>
        <v>2.5849314681104411E-2</v>
      </c>
      <c r="O35" s="116">
        <f>IFERROR(O33/O34,0)</f>
        <v>2.1327336108736154E-2</v>
      </c>
      <c r="P35" s="114"/>
      <c r="Q35" s="114"/>
      <c r="R35" s="114"/>
      <c r="S35" s="116">
        <f>IFERROR(S33/S34,0)</f>
        <v>2.229414258370789E-2</v>
      </c>
      <c r="T35" s="116">
        <f>IFERROR(T33/T34,0)</f>
        <v>2.5878465042247563E-2</v>
      </c>
      <c r="X35" s="14" t="s">
        <v>23</v>
      </c>
      <c r="Y35" s="116">
        <f>IFERROR(Y33/Y34,0)</f>
        <v>1.8383794211421086E-3</v>
      </c>
      <c r="Z35" s="116">
        <f>IFERROR(Z33/Z34,0)</f>
        <v>-1.7037222218680697E-3</v>
      </c>
      <c r="AA35" s="114"/>
      <c r="AB35" s="114"/>
      <c r="AC35" s="114"/>
      <c r="AD35" s="116">
        <f>IFERROR(AD33/AD34,0)</f>
        <v>6.0048475200934388E-4</v>
      </c>
      <c r="AE35" s="116">
        <f>IFERROR(AE33/AE34,0)</f>
        <v>2.8182734009658214E-3</v>
      </c>
      <c r="AI35" s="14" t="s">
        <v>23</v>
      </c>
      <c r="AJ35" s="116">
        <f>IFERROR(AJ33/AJ34,0)</f>
        <v>-2.7524414947692724</v>
      </c>
      <c r="AK35" s="116">
        <f>IFERROR(AK33/AK34,0)</f>
        <v>-2.9023992649753292</v>
      </c>
      <c r="AL35" s="114"/>
      <c r="AM35" s="114"/>
      <c r="AN35" s="114"/>
      <c r="AO35" s="116">
        <f>IFERROR(AO33/AO34,0)</f>
        <v>-2.7296234258031835</v>
      </c>
      <c r="AP35" s="116">
        <f>IFERROR(AP33/AP34,0)</f>
        <v>-2.824922808882413</v>
      </c>
      <c r="AS35" s="115"/>
      <c r="AT35" s="14" t="s">
        <v>23</v>
      </c>
      <c r="AU35" s="116">
        <f>IFERROR(AU33/AU34,0)</f>
        <v>0</v>
      </c>
      <c r="AV35" s="116">
        <f>IFERROR(AV33/AV34,0)</f>
        <v>0</v>
      </c>
      <c r="AW35" s="114"/>
      <c r="AX35" s="114"/>
      <c r="AY35" s="114"/>
      <c r="AZ35" s="116">
        <f>IFERROR(AZ33/AZ34,0)</f>
        <v>0</v>
      </c>
      <c r="BA35" s="116">
        <f>IFERROR(BA33/BA34,0)</f>
        <v>0</v>
      </c>
      <c r="BD35" s="115"/>
      <c r="BE35" s="14" t="s">
        <v>23</v>
      </c>
      <c r="BF35" s="116">
        <f>IFERROR(BF33/BF34,0)</f>
        <v>0</v>
      </c>
      <c r="BG35" s="116">
        <f>IFERROR(BG33/BG34,0)</f>
        <v>0</v>
      </c>
      <c r="BH35" s="114"/>
      <c r="BI35" s="114"/>
      <c r="BJ35" s="114"/>
      <c r="BK35" s="116">
        <f>IFERROR(BK33/BK34,0)</f>
        <v>0</v>
      </c>
      <c r="BL35" s="116">
        <f>IFERROR(BL33/BL34,0)</f>
        <v>0</v>
      </c>
      <c r="BP35" s="14" t="s">
        <v>23</v>
      </c>
      <c r="BQ35" s="116">
        <f>IFERROR(BQ33/BQ34,0)</f>
        <v>7.4498778947309791E-3</v>
      </c>
      <c r="BR35" s="116">
        <f>IFERROR(BR33/BR34,0)</f>
        <v>3.8759211753980273E-3</v>
      </c>
      <c r="BS35" s="114"/>
      <c r="BT35" s="114"/>
      <c r="BU35" s="114"/>
      <c r="BV35" s="116">
        <f>IFERROR(BV33/BV34,0)</f>
        <v>5.5665401993603026E-3</v>
      </c>
      <c r="BW35" s="116">
        <f>IFERROR(BW33/BW34,0)</f>
        <v>7.5990076021889078E-3</v>
      </c>
      <c r="CA35" s="14" t="s">
        <v>23</v>
      </c>
      <c r="CB35" s="116">
        <f>IFERROR(CB33/CB34,0)</f>
        <v>-1.6693999999570922E-3</v>
      </c>
      <c r="CC35" s="116">
        <f>IFERROR(CC33/CC34,0)</f>
        <v>1.2059928076416115E-3</v>
      </c>
      <c r="CD35" s="114"/>
      <c r="CE35" s="114"/>
      <c r="CF35" s="114"/>
      <c r="CG35" s="116">
        <f>IFERROR(CG33/CG34,0)</f>
        <v>5.5716466250303213E-3</v>
      </c>
      <c r="CH35" s="116">
        <f>IFERROR(CH33/CH34,0)</f>
        <v>8.9723858379931343E-3</v>
      </c>
      <c r="CL35" s="14" t="s">
        <v>23</v>
      </c>
      <c r="CM35" s="116">
        <f>IFERROR(CM33/CM34,0)</f>
        <v>-3.6308787115810148E-2</v>
      </c>
      <c r="CN35" s="116">
        <f>IFERROR(CN33/CN34,0)</f>
        <v>-2.4170230170673723E-2</v>
      </c>
      <c r="CO35" s="114"/>
      <c r="CP35" s="114"/>
      <c r="CQ35" s="114"/>
      <c r="CR35" s="116">
        <f>IFERROR(CR33/CR34,0)</f>
        <v>-1.0891767432742398E-2</v>
      </c>
      <c r="CS35" s="116">
        <f>IFERROR(CS33/CS34,0)</f>
        <v>-1.1131174566112051E-3</v>
      </c>
      <c r="CW35" s="14" t="s">
        <v>23</v>
      </c>
      <c r="CX35" s="116">
        <f>IFERROR(CX33/CX34,0)</f>
        <v>9.1720290913864869E-3</v>
      </c>
      <c r="CY35" s="116">
        <f>IFERROR(CY33/CY34,0)</f>
        <v>8.6686849006809685E-3</v>
      </c>
      <c r="CZ35" s="114"/>
      <c r="DA35" s="114"/>
      <c r="DB35" s="114"/>
      <c r="DC35" s="116">
        <f>IFERROR(DC33/DC34,0)</f>
        <v>1.0115950218075296E-2</v>
      </c>
      <c r="DD35" s="116">
        <f>IFERROR(DD33/DD34,0)</f>
        <v>1.1634337697202693E-2</v>
      </c>
      <c r="DH35" s="14" t="s">
        <v>23</v>
      </c>
      <c r="DI35" s="116">
        <f>IFERROR(DI33/DI34,0)</f>
        <v>1.07934752945396E-2</v>
      </c>
      <c r="DJ35" s="116">
        <f>IFERROR(DJ33/DJ34,0)</f>
        <v>9.1927169985507248E-3</v>
      </c>
      <c r="DK35" s="114"/>
      <c r="DL35" s="114"/>
      <c r="DM35" s="114"/>
      <c r="DN35" s="116">
        <f>IFERROR(DN33/DN34,0)</f>
        <v>8.9488223325670628E-3</v>
      </c>
      <c r="DO35" s="116">
        <f>IFERROR(DO33/DO34,0)</f>
        <v>8.9656917576392305E-3</v>
      </c>
      <c r="DS35" s="14" t="s">
        <v>23</v>
      </c>
      <c r="DT35" s="116">
        <f>IFERROR(DT33/DT34,0)</f>
        <v>-0.32773207383050756</v>
      </c>
      <c r="DU35" s="116">
        <f>IFERROR(DU33/DU34,0)</f>
        <v>-0.21961199813447849</v>
      </c>
      <c r="DV35" s="114"/>
      <c r="DW35" s="114"/>
      <c r="DX35" s="114"/>
      <c r="DY35" s="116">
        <f>IFERROR(DY33/DY34,0)</f>
        <v>-9.0549427605570276E-2</v>
      </c>
      <c r="DZ35" s="116">
        <f>IFERROR(DZ33/DZ34,0)</f>
        <v>3.8012084308769303E-2</v>
      </c>
      <c r="ED35" s="14" t="s">
        <v>23</v>
      </c>
      <c r="EE35" s="116">
        <f>IFERROR(EE33/EE34,0)</f>
        <v>9.5735274439935104E-3</v>
      </c>
      <c r="EF35" s="116">
        <f>IFERROR(EF33/EF34,0)</f>
        <v>1.3397981557116996E-2</v>
      </c>
      <c r="EG35" s="114"/>
      <c r="EH35" s="114"/>
      <c r="EI35" s="114"/>
      <c r="EJ35" s="116">
        <f>IFERROR(EJ33/EJ34,0)</f>
        <v>4.5192205107381081E-3</v>
      </c>
      <c r="EK35" s="116">
        <f>IFERROR(EK33/EK34,0)</f>
        <v>-1.9829747494183897E-2</v>
      </c>
      <c r="EO35" s="14" t="s">
        <v>23</v>
      </c>
      <c r="EP35" s="116">
        <f>IFERROR(EP33/EP34,0)</f>
        <v>6.2578670742864134E-2</v>
      </c>
      <c r="EQ35" s="116">
        <f>IFERROR(EQ33/EQ34,0)</f>
        <v>6.2338621177117307E-3</v>
      </c>
      <c r="ER35" s="114"/>
      <c r="ES35" s="114"/>
      <c r="ET35" s="114"/>
      <c r="EU35" s="116">
        <f>IFERROR(EU33/EU34,0)</f>
        <v>-5.0922053673693899E-3</v>
      </c>
      <c r="EV35" s="116">
        <f>IFERROR(EV33/EV34,0)</f>
        <v>-1.000459858465556E-2</v>
      </c>
      <c r="EZ35" s="14" t="s">
        <v>23</v>
      </c>
      <c r="FA35" s="116">
        <f>IFERROR(FA33/FA34,0)</f>
        <v>-1.9346989591875224E-2</v>
      </c>
      <c r="FB35" s="116">
        <f>IFERROR(FB33/FB34,0)</f>
        <v>-5.8172501693958344E-2</v>
      </c>
      <c r="FC35" s="114"/>
      <c r="FD35" s="114"/>
      <c r="FE35" s="114"/>
      <c r="FF35" s="116">
        <f>IFERROR(FF33/FF34,0)</f>
        <v>-8.3259191306861061E-2</v>
      </c>
      <c r="FG35" s="116">
        <f>IFERROR(FG33/FG34,0)</f>
        <v>-9.5565984366933157E-2</v>
      </c>
      <c r="FK35" s="14" t="s">
        <v>23</v>
      </c>
      <c r="FL35" s="116">
        <f>IFERROR(FL33/FL34,0)</f>
        <v>0.22841667196185686</v>
      </c>
      <c r="FM35" s="116">
        <f>IFERROR(FM33/FM34,0)</f>
        <v>0.13621100824542542</v>
      </c>
      <c r="FN35" s="114"/>
      <c r="FO35" s="114"/>
      <c r="FP35" s="114"/>
      <c r="FQ35" s="116">
        <f>IFERROR(FQ33/FQ34,0)</f>
        <v>0.1421521482656215</v>
      </c>
      <c r="FR35" s="116">
        <f>IFERROR(FR33/FR34,0)</f>
        <v>0.14332302048234996</v>
      </c>
    </row>
    <row r="36" spans="2:174" x14ac:dyDescent="0.3">
      <c r="B36" s="13" t="s">
        <v>20</v>
      </c>
      <c r="C36" s="117">
        <f>C23</f>
        <v>1015.5111344686788</v>
      </c>
      <c r="D36" s="117">
        <f>D23</f>
        <v>678.28175009649453</v>
      </c>
      <c r="E36" s="19"/>
      <c r="F36" s="19"/>
      <c r="G36" s="19"/>
      <c r="H36" s="117">
        <f>H23</f>
        <v>884.02813520529901</v>
      </c>
      <c r="I36" s="117">
        <f>I23</f>
        <v>1190.1127326048004</v>
      </c>
      <c r="M36" s="13" t="s">
        <v>20</v>
      </c>
      <c r="N36" s="117">
        <f>N23</f>
        <v>912.43618253045054</v>
      </c>
      <c r="O36" s="117">
        <f>O23</f>
        <v>779.44759891625688</v>
      </c>
      <c r="P36" s="19"/>
      <c r="Q36" s="19"/>
      <c r="R36" s="19"/>
      <c r="S36" s="117">
        <f>S23</f>
        <v>846.32453986962867</v>
      </c>
      <c r="T36" s="117">
        <f>T23</f>
        <v>999.75670286038826</v>
      </c>
      <c r="X36" s="13" t="s">
        <v>20</v>
      </c>
      <c r="Y36" s="117">
        <f>Y23</f>
        <v>103.0749519382292</v>
      </c>
      <c r="Z36" s="117">
        <f>Z23</f>
        <v>-101.16584881976068</v>
      </c>
      <c r="AA36" s="19"/>
      <c r="AB36" s="19"/>
      <c r="AC36" s="19"/>
      <c r="AD36" s="117">
        <f>AD23</f>
        <v>37.703595335669391</v>
      </c>
      <c r="AE36" s="117">
        <f>AE23</f>
        <v>190.3560297444123</v>
      </c>
      <c r="AI36" s="13" t="s">
        <v>20</v>
      </c>
      <c r="AJ36" s="117">
        <f>AJ23</f>
        <v>-313.77833040369705</v>
      </c>
      <c r="AK36" s="117">
        <f>AK23</f>
        <v>-330.87351620718755</v>
      </c>
      <c r="AL36" s="19"/>
      <c r="AM36" s="19"/>
      <c r="AN36" s="19"/>
      <c r="AO36" s="117">
        <f>AO23</f>
        <v>-311.1770705415629</v>
      </c>
      <c r="AP36" s="117">
        <f>AP23</f>
        <v>-322.04120021259507</v>
      </c>
      <c r="AT36" s="13" t="s">
        <v>20</v>
      </c>
      <c r="AU36" s="117">
        <f>AU23</f>
        <v>-67.548205072618117</v>
      </c>
      <c r="AV36" s="117">
        <f>AV23</f>
        <v>-92.56012085784343</v>
      </c>
      <c r="AW36" s="19"/>
      <c r="AX36" s="19"/>
      <c r="AY36" s="19"/>
      <c r="AZ36" s="117">
        <f>AZ23</f>
        <v>-89.3923494855987</v>
      </c>
      <c r="BA36" s="117">
        <f>BA23</f>
        <v>-94.307985808838367</v>
      </c>
      <c r="BE36" s="13" t="s">
        <v>20</v>
      </c>
      <c r="BF36" s="117">
        <f>BF23</f>
        <v>-246.23012533107894</v>
      </c>
      <c r="BG36" s="117">
        <f>BG23</f>
        <v>-238.31339534934409</v>
      </c>
      <c r="BH36" s="19"/>
      <c r="BI36" s="19"/>
      <c r="BJ36" s="19"/>
      <c r="BK36" s="117">
        <f>BK23</f>
        <v>-221.7847210559641</v>
      </c>
      <c r="BL36" s="117">
        <f>BL23</f>
        <v>-227.73321440375668</v>
      </c>
      <c r="BP36" s="13" t="s">
        <v>20</v>
      </c>
      <c r="BQ36" s="117">
        <f>BQ23</f>
        <v>416.85328234192639</v>
      </c>
      <c r="BR36" s="117">
        <f>BR23</f>
        <v>229.70766738742674</v>
      </c>
      <c r="BS36" s="19"/>
      <c r="BT36" s="19"/>
      <c r="BU36" s="19"/>
      <c r="BV36" s="117">
        <f>BV23</f>
        <v>348.88066587723245</v>
      </c>
      <c r="BW36" s="117">
        <f>BW23</f>
        <v>512.39722995700777</v>
      </c>
      <c r="CA36" s="13" t="s">
        <v>20</v>
      </c>
      <c r="CB36" s="117">
        <f>CB23</f>
        <v>-58.872177615012006</v>
      </c>
      <c r="CC36" s="117">
        <f>CC23</f>
        <v>45.107386134302459</v>
      </c>
      <c r="CD36" s="19"/>
      <c r="CE36" s="19"/>
      <c r="CF36" s="19"/>
      <c r="CG36" s="117">
        <f>CG23</f>
        <v>230.25784726694499</v>
      </c>
      <c r="CH36" s="117">
        <f>CH23</f>
        <v>406.0938937669697</v>
      </c>
      <c r="CL36" s="13" t="s">
        <v>20</v>
      </c>
      <c r="CM36" s="117">
        <f>CM23</f>
        <v>-305.2247286536674</v>
      </c>
      <c r="CN36" s="117">
        <f>CN23</f>
        <v>-205.44257632143353</v>
      </c>
      <c r="CO36" s="19"/>
      <c r="CP36" s="19"/>
      <c r="CQ36" s="19"/>
      <c r="CR36" s="117">
        <f>CR23</f>
        <v>-97.368325547253647</v>
      </c>
      <c r="CS36" s="117">
        <f>CS23</f>
        <v>-10.52049601191765</v>
      </c>
      <c r="CW36" s="13" t="s">
        <v>20</v>
      </c>
      <c r="CX36" s="117">
        <f>CX23</f>
        <v>246.3525510386556</v>
      </c>
      <c r="CY36" s="117">
        <f>CY23</f>
        <v>250.54996245573602</v>
      </c>
      <c r="CZ36" s="19"/>
      <c r="DA36" s="19"/>
      <c r="DB36" s="19"/>
      <c r="DC36" s="117">
        <f>DC23</f>
        <v>327.6261728141983</v>
      </c>
      <c r="DD36" s="117">
        <f>DD23</f>
        <v>416.61438977888747</v>
      </c>
      <c r="DH36" s="13" t="s">
        <v>20</v>
      </c>
      <c r="DI36" s="117">
        <f>DI23</f>
        <v>145.39085365207632</v>
      </c>
      <c r="DJ36" s="117">
        <f>DJ23</f>
        <v>141.42699542598942</v>
      </c>
      <c r="DK36" s="19"/>
      <c r="DL36" s="19"/>
      <c r="DM36" s="19"/>
      <c r="DN36" s="117">
        <f>DN23</f>
        <v>142.54932912801914</v>
      </c>
      <c r="DO36" s="117">
        <f>DO23</f>
        <v>155.72459274953073</v>
      </c>
      <c r="DS36" s="13" t="s">
        <v>20</v>
      </c>
      <c r="DT36" s="117">
        <f>DT23</f>
        <v>-11.157395869021052</v>
      </c>
      <c r="DU36" s="117">
        <f>DU23</f>
        <v>-7.5277804541629774</v>
      </c>
      <c r="DV36" s="19"/>
      <c r="DW36" s="19"/>
      <c r="DX36" s="19"/>
      <c r="DY36" s="117">
        <f>DY23</f>
        <v>-3.2286819441662278</v>
      </c>
      <c r="DZ36" s="117">
        <f>DZ23</f>
        <v>1.3566636392064642</v>
      </c>
      <c r="ED36" s="13" t="s">
        <v>20</v>
      </c>
      <c r="EE36" s="117">
        <f>EE23</f>
        <v>19.526518515641659</v>
      </c>
      <c r="EF36" s="117">
        <f>EF23</f>
        <v>19.696827587935779</v>
      </c>
      <c r="EG36" s="19"/>
      <c r="EH36" s="19"/>
      <c r="EI36" s="19"/>
      <c r="EJ36" s="117">
        <f>EJ23</f>
        <v>3.1562396576966574</v>
      </c>
      <c r="EK36" s="117">
        <f>EK23</f>
        <v>-6.2799374142978248</v>
      </c>
      <c r="EO36" s="13" t="s">
        <v>20</v>
      </c>
      <c r="EP36" s="117">
        <f>EP23</f>
        <v>321.9654836582414</v>
      </c>
      <c r="EQ36" s="117">
        <f>EQ23</f>
        <v>31.004238693361962</v>
      </c>
      <c r="ER36" s="19"/>
      <c r="ES36" s="19"/>
      <c r="ET36" s="19"/>
      <c r="EU36" s="117">
        <f>EU23</f>
        <v>-23.854068231262588</v>
      </c>
      <c r="EV36" s="117">
        <f>EV23</f>
        <v>-44.497982784401103</v>
      </c>
      <c r="EZ36" s="13" t="s">
        <v>20</v>
      </c>
      <c r="FA36" s="117">
        <f>FA23</f>
        <v>-66.62585938423301</v>
      </c>
      <c r="FB36" s="117">
        <f>FB23</f>
        <v>-193.45911544160037</v>
      </c>
      <c r="FC36" s="19"/>
      <c r="FD36" s="19"/>
      <c r="FE36" s="19"/>
      <c r="FF36" s="117">
        <f>FF23</f>
        <v>-254.77195819602181</v>
      </c>
      <c r="FG36" s="117">
        <f>FG23</f>
        <v>-272.81498650937169</v>
      </c>
      <c r="FK36" s="13" t="s">
        <v>20</v>
      </c>
      <c r="FL36" s="117">
        <f>FL23</f>
        <v>388.59134304247448</v>
      </c>
      <c r="FM36" s="117">
        <f>FM23</f>
        <v>224.46335413496234</v>
      </c>
      <c r="FN36" s="19"/>
      <c r="FO36" s="19"/>
      <c r="FP36" s="19"/>
      <c r="FQ36" s="117">
        <f>FQ23</f>
        <v>230.91788996475918</v>
      </c>
      <c r="FR36" s="117">
        <f>FR23</f>
        <v>228.31700372497062</v>
      </c>
    </row>
    <row r="37" spans="2:174" x14ac:dyDescent="0.3">
      <c r="B37" s="13" t="s">
        <v>28</v>
      </c>
      <c r="C37" s="119" t="s">
        <v>102</v>
      </c>
      <c r="D37" s="119" t="s">
        <v>102</v>
      </c>
      <c r="E37" s="19"/>
      <c r="F37" s="19"/>
      <c r="G37" s="19"/>
      <c r="H37" s="119" t="s">
        <v>102</v>
      </c>
      <c r="I37" s="119" t="s">
        <v>102</v>
      </c>
      <c r="M37" s="13" t="s">
        <v>28</v>
      </c>
      <c r="N37" s="119" t="s">
        <v>102</v>
      </c>
      <c r="O37" s="119" t="s">
        <v>102</v>
      </c>
      <c r="P37" s="19"/>
      <c r="Q37" s="19"/>
      <c r="R37" s="19"/>
      <c r="S37" s="119" t="s">
        <v>102</v>
      </c>
      <c r="T37" s="119" t="s">
        <v>102</v>
      </c>
      <c r="X37" s="13" t="s">
        <v>28</v>
      </c>
      <c r="Y37" s="119" t="s">
        <v>102</v>
      </c>
      <c r="Z37" s="119" t="s">
        <v>102</v>
      </c>
      <c r="AA37" s="19"/>
      <c r="AB37" s="19"/>
      <c r="AC37" s="19"/>
      <c r="AD37" s="119" t="s">
        <v>102</v>
      </c>
      <c r="AE37" s="119" t="s">
        <v>102</v>
      </c>
      <c r="AI37" s="13" t="s">
        <v>28</v>
      </c>
      <c r="AJ37" s="119" t="s">
        <v>102</v>
      </c>
      <c r="AK37" s="119" t="s">
        <v>102</v>
      </c>
      <c r="AL37" s="19"/>
      <c r="AM37" s="19"/>
      <c r="AN37" s="19"/>
      <c r="AO37" s="119" t="s">
        <v>102</v>
      </c>
      <c r="AP37" s="119" t="s">
        <v>102</v>
      </c>
      <c r="AT37" s="13" t="s">
        <v>28</v>
      </c>
      <c r="AU37" s="119" t="s">
        <v>102</v>
      </c>
      <c r="AV37" s="119" t="s">
        <v>102</v>
      </c>
      <c r="AW37" s="19"/>
      <c r="AX37" s="19"/>
      <c r="AY37" s="19"/>
      <c r="AZ37" s="119" t="s">
        <v>102</v>
      </c>
      <c r="BA37" s="119" t="s">
        <v>102</v>
      </c>
      <c r="BE37" s="13" t="s">
        <v>28</v>
      </c>
      <c r="BF37" s="119" t="s">
        <v>102</v>
      </c>
      <c r="BG37" s="119" t="s">
        <v>102</v>
      </c>
      <c r="BH37" s="19"/>
      <c r="BI37" s="19"/>
      <c r="BJ37" s="19"/>
      <c r="BK37" s="119" t="s">
        <v>102</v>
      </c>
      <c r="BL37" s="119" t="s">
        <v>102</v>
      </c>
      <c r="BP37" s="13" t="s">
        <v>28</v>
      </c>
      <c r="BQ37" s="119" t="s">
        <v>102</v>
      </c>
      <c r="BR37" s="119" t="s">
        <v>102</v>
      </c>
      <c r="BS37" s="19"/>
      <c r="BT37" s="19"/>
      <c r="BU37" s="19"/>
      <c r="BV37" s="119" t="s">
        <v>102</v>
      </c>
      <c r="BW37" s="119" t="s">
        <v>102</v>
      </c>
      <c r="CA37" s="13" t="s">
        <v>28</v>
      </c>
      <c r="CB37" s="119" t="s">
        <v>102</v>
      </c>
      <c r="CC37" s="119" t="s">
        <v>102</v>
      </c>
      <c r="CD37" s="19"/>
      <c r="CE37" s="19"/>
      <c r="CF37" s="19"/>
      <c r="CG37" s="119" t="s">
        <v>102</v>
      </c>
      <c r="CH37" s="119" t="s">
        <v>102</v>
      </c>
      <c r="CL37" s="13" t="s">
        <v>28</v>
      </c>
      <c r="CM37" s="119" t="s">
        <v>102</v>
      </c>
      <c r="CN37" s="119" t="s">
        <v>102</v>
      </c>
      <c r="CO37" s="19"/>
      <c r="CP37" s="19"/>
      <c r="CQ37" s="19"/>
      <c r="CR37" s="119" t="s">
        <v>102</v>
      </c>
      <c r="CS37" s="119" t="s">
        <v>102</v>
      </c>
      <c r="CW37" s="13" t="s">
        <v>28</v>
      </c>
      <c r="CX37" s="119" t="s">
        <v>102</v>
      </c>
      <c r="CY37" s="119" t="s">
        <v>102</v>
      </c>
      <c r="CZ37" s="19"/>
      <c r="DA37" s="19"/>
      <c r="DB37" s="19"/>
      <c r="DC37" s="119" t="s">
        <v>102</v>
      </c>
      <c r="DD37" s="119" t="s">
        <v>102</v>
      </c>
      <c r="DH37" s="13" t="s">
        <v>28</v>
      </c>
      <c r="DI37" s="119" t="s">
        <v>102</v>
      </c>
      <c r="DJ37" s="119" t="s">
        <v>102</v>
      </c>
      <c r="DK37" s="19"/>
      <c r="DL37" s="19"/>
      <c r="DM37" s="19"/>
      <c r="DN37" s="119" t="s">
        <v>102</v>
      </c>
      <c r="DO37" s="119" t="s">
        <v>102</v>
      </c>
      <c r="DS37" s="13" t="s">
        <v>28</v>
      </c>
      <c r="DT37" s="119" t="s">
        <v>102</v>
      </c>
      <c r="DU37" s="119" t="s">
        <v>102</v>
      </c>
      <c r="DV37" s="19"/>
      <c r="DW37" s="19"/>
      <c r="DX37" s="19"/>
      <c r="DY37" s="119" t="s">
        <v>102</v>
      </c>
      <c r="DZ37" s="119" t="s">
        <v>102</v>
      </c>
      <c r="ED37" s="13" t="s">
        <v>28</v>
      </c>
      <c r="EE37" s="119" t="s">
        <v>102</v>
      </c>
      <c r="EF37" s="119" t="s">
        <v>102</v>
      </c>
      <c r="EG37" s="19"/>
      <c r="EH37" s="19"/>
      <c r="EI37" s="19"/>
      <c r="EJ37" s="119" t="s">
        <v>102</v>
      </c>
      <c r="EK37" s="119" t="s">
        <v>102</v>
      </c>
      <c r="EO37" s="13" t="s">
        <v>28</v>
      </c>
      <c r="EP37" s="119" t="s">
        <v>102</v>
      </c>
      <c r="EQ37" s="119" t="s">
        <v>102</v>
      </c>
      <c r="ER37" s="19"/>
      <c r="ES37" s="19"/>
      <c r="ET37" s="19"/>
      <c r="EU37" s="119" t="s">
        <v>102</v>
      </c>
      <c r="EV37" s="119" t="s">
        <v>102</v>
      </c>
      <c r="EZ37" s="13" t="s">
        <v>28</v>
      </c>
      <c r="FA37" s="119" t="s">
        <v>102</v>
      </c>
      <c r="FB37" s="119" t="s">
        <v>102</v>
      </c>
      <c r="FC37" s="19"/>
      <c r="FD37" s="19"/>
      <c r="FE37" s="19"/>
      <c r="FF37" s="119" t="s">
        <v>102</v>
      </c>
      <c r="FG37" s="119" t="s">
        <v>102</v>
      </c>
      <c r="FK37" s="13" t="s">
        <v>28</v>
      </c>
      <c r="FL37" s="119" t="s">
        <v>102</v>
      </c>
      <c r="FM37" s="119" t="s">
        <v>102</v>
      </c>
      <c r="FN37" s="19"/>
      <c r="FO37" s="19"/>
      <c r="FP37" s="19"/>
      <c r="FQ37" s="119" t="s">
        <v>102</v>
      </c>
      <c r="FR37" s="119" t="s">
        <v>102</v>
      </c>
    </row>
    <row r="38" spans="2:174" s="5" customFormat="1" x14ac:dyDescent="0.3">
      <c r="B38" s="14" t="s">
        <v>24</v>
      </c>
      <c r="C38" s="116">
        <f>IFERROR(C36/C37,0)</f>
        <v>0</v>
      </c>
      <c r="D38" s="116">
        <f>IFERROR(D36/D37,0)</f>
        <v>0</v>
      </c>
      <c r="E38" s="114"/>
      <c r="F38" s="114"/>
      <c r="G38" s="114"/>
      <c r="H38" s="116">
        <f>IFERROR(H36/H37,0)</f>
        <v>0</v>
      </c>
      <c r="I38" s="116">
        <f>IFERROR(I36/I37,0)</f>
        <v>0</v>
      </c>
      <c r="M38" s="14" t="s">
        <v>24</v>
      </c>
      <c r="N38" s="116">
        <f>IFERROR(N36/N37,0)</f>
        <v>0</v>
      </c>
      <c r="O38" s="116">
        <f>IFERROR(O36/O37,0)</f>
        <v>0</v>
      </c>
      <c r="P38" s="114"/>
      <c r="Q38" s="114"/>
      <c r="R38" s="114"/>
      <c r="S38" s="116">
        <f>IFERROR(S36/S37,0)</f>
        <v>0</v>
      </c>
      <c r="T38" s="116">
        <f>IFERROR(T36/T37,0)</f>
        <v>0</v>
      </c>
      <c r="X38" s="14" t="s">
        <v>24</v>
      </c>
      <c r="Y38" s="116">
        <f>IFERROR(Y36/Y37,0)</f>
        <v>0</v>
      </c>
      <c r="Z38" s="116">
        <f>IFERROR(Z36/Z37,0)</f>
        <v>0</v>
      </c>
      <c r="AA38" s="114"/>
      <c r="AB38" s="114"/>
      <c r="AC38" s="114"/>
      <c r="AD38" s="116">
        <f>IFERROR(AD36/AD37,0)</f>
        <v>0</v>
      </c>
      <c r="AE38" s="116">
        <f>IFERROR(AE36/AE37,0)</f>
        <v>0</v>
      </c>
      <c r="AI38" s="14" t="s">
        <v>24</v>
      </c>
      <c r="AJ38" s="116">
        <f>IFERROR(AJ36/AJ37,0)</f>
        <v>0</v>
      </c>
      <c r="AK38" s="116">
        <f>IFERROR(AK36/AK37,0)</f>
        <v>0</v>
      </c>
      <c r="AL38" s="114"/>
      <c r="AM38" s="114"/>
      <c r="AN38" s="114"/>
      <c r="AO38" s="116">
        <f>IFERROR(AO36/AO37,0)</f>
        <v>0</v>
      </c>
      <c r="AP38" s="116">
        <f>IFERROR(AP36/AP37,0)</f>
        <v>0</v>
      </c>
      <c r="AS38" s="115"/>
      <c r="AT38" s="14" t="s">
        <v>24</v>
      </c>
      <c r="AU38" s="116">
        <f>IFERROR(AU36/AU37,0)</f>
        <v>0</v>
      </c>
      <c r="AV38" s="116">
        <f>IFERROR(AV36/AV37,0)</f>
        <v>0</v>
      </c>
      <c r="AW38" s="114"/>
      <c r="AX38" s="114"/>
      <c r="AY38" s="114"/>
      <c r="AZ38" s="116">
        <f>IFERROR(AZ36/AZ37,0)</f>
        <v>0</v>
      </c>
      <c r="BA38" s="116">
        <f>IFERROR(BA36/BA37,0)</f>
        <v>0</v>
      </c>
      <c r="BD38" s="115"/>
      <c r="BE38" s="14" t="s">
        <v>24</v>
      </c>
      <c r="BF38" s="116">
        <f>IFERROR(BF36/BF37,0)</f>
        <v>0</v>
      </c>
      <c r="BG38" s="116">
        <f>IFERROR(BG36/BG37,0)</f>
        <v>0</v>
      </c>
      <c r="BH38" s="114"/>
      <c r="BI38" s="114"/>
      <c r="BJ38" s="114"/>
      <c r="BK38" s="116">
        <f>IFERROR(BK36/BK37,0)</f>
        <v>0</v>
      </c>
      <c r="BL38" s="116">
        <f>IFERROR(BL36/BL37,0)</f>
        <v>0</v>
      </c>
      <c r="BP38" s="14" t="s">
        <v>24</v>
      </c>
      <c r="BQ38" s="116">
        <f>IFERROR(BQ36/BQ37,0)</f>
        <v>0</v>
      </c>
      <c r="BR38" s="116">
        <f>IFERROR(BR36/BR37,0)</f>
        <v>0</v>
      </c>
      <c r="BS38" s="114"/>
      <c r="BT38" s="114"/>
      <c r="BU38" s="114"/>
      <c r="BV38" s="116">
        <f>IFERROR(BV36/BV37,0)</f>
        <v>0</v>
      </c>
      <c r="BW38" s="116">
        <f>IFERROR(BW36/BW37,0)</f>
        <v>0</v>
      </c>
      <c r="CA38" s="14" t="s">
        <v>24</v>
      </c>
      <c r="CB38" s="116">
        <f>IFERROR(CB36/CB37,0)</f>
        <v>0</v>
      </c>
      <c r="CC38" s="116">
        <f>IFERROR(CC36/CC37,0)</f>
        <v>0</v>
      </c>
      <c r="CD38" s="114"/>
      <c r="CE38" s="114"/>
      <c r="CF38" s="114"/>
      <c r="CG38" s="116">
        <f>IFERROR(CG36/CG37,0)</f>
        <v>0</v>
      </c>
      <c r="CH38" s="116">
        <f>IFERROR(CH36/CH37,0)</f>
        <v>0</v>
      </c>
      <c r="CL38" s="14" t="s">
        <v>24</v>
      </c>
      <c r="CM38" s="116">
        <f>IFERROR(CM36/CM37,0)</f>
        <v>0</v>
      </c>
      <c r="CN38" s="116">
        <f>IFERROR(CN36/CN37,0)</f>
        <v>0</v>
      </c>
      <c r="CO38" s="114"/>
      <c r="CP38" s="114"/>
      <c r="CQ38" s="114"/>
      <c r="CR38" s="116">
        <f>IFERROR(CR36/CR37,0)</f>
        <v>0</v>
      </c>
      <c r="CS38" s="116">
        <f>IFERROR(CS36/CS37,0)</f>
        <v>0</v>
      </c>
      <c r="CW38" s="14" t="s">
        <v>24</v>
      </c>
      <c r="CX38" s="116">
        <f>IFERROR(CX36/CX37,0)</f>
        <v>0</v>
      </c>
      <c r="CY38" s="116">
        <f>IFERROR(CY36/CY37,0)</f>
        <v>0</v>
      </c>
      <c r="CZ38" s="114"/>
      <c r="DA38" s="114"/>
      <c r="DB38" s="114"/>
      <c r="DC38" s="116">
        <f>IFERROR(DC36/DC37,0)</f>
        <v>0</v>
      </c>
      <c r="DD38" s="116">
        <f>IFERROR(DD36/DD37,0)</f>
        <v>0</v>
      </c>
      <c r="DH38" s="14" t="s">
        <v>24</v>
      </c>
      <c r="DI38" s="116">
        <f>IFERROR(DI36/DI37,0)</f>
        <v>0</v>
      </c>
      <c r="DJ38" s="116">
        <f>IFERROR(DJ36/DJ37,0)</f>
        <v>0</v>
      </c>
      <c r="DK38" s="114"/>
      <c r="DL38" s="114"/>
      <c r="DM38" s="114"/>
      <c r="DN38" s="116">
        <f>IFERROR(DN36/DN37,0)</f>
        <v>0</v>
      </c>
      <c r="DO38" s="116">
        <f>IFERROR(DO36/DO37,0)</f>
        <v>0</v>
      </c>
      <c r="DS38" s="14" t="s">
        <v>24</v>
      </c>
      <c r="DT38" s="116">
        <f>IFERROR(DT36/DT37,0)</f>
        <v>0</v>
      </c>
      <c r="DU38" s="116">
        <f>IFERROR(DU36/DU37,0)</f>
        <v>0</v>
      </c>
      <c r="DV38" s="114"/>
      <c r="DW38" s="114"/>
      <c r="DX38" s="114"/>
      <c r="DY38" s="116">
        <f>IFERROR(DY36/DY37,0)</f>
        <v>0</v>
      </c>
      <c r="DZ38" s="116">
        <f>IFERROR(DZ36/DZ37,0)</f>
        <v>0</v>
      </c>
      <c r="ED38" s="14" t="s">
        <v>24</v>
      </c>
      <c r="EE38" s="116">
        <f>IFERROR(EE36/EE37,0)</f>
        <v>0</v>
      </c>
      <c r="EF38" s="116">
        <f>IFERROR(EF36/EF37,0)</f>
        <v>0</v>
      </c>
      <c r="EG38" s="114"/>
      <c r="EH38" s="114"/>
      <c r="EI38" s="114"/>
      <c r="EJ38" s="116">
        <f>IFERROR(EJ36/EJ37,0)</f>
        <v>0</v>
      </c>
      <c r="EK38" s="116">
        <f>IFERROR(EK36/EK37,0)</f>
        <v>0</v>
      </c>
      <c r="EO38" s="14" t="s">
        <v>24</v>
      </c>
      <c r="EP38" s="116">
        <f>IFERROR(EP36/EP37,0)</f>
        <v>0</v>
      </c>
      <c r="EQ38" s="116">
        <f>IFERROR(EQ36/EQ37,0)</f>
        <v>0</v>
      </c>
      <c r="ER38" s="114"/>
      <c r="ES38" s="114"/>
      <c r="ET38" s="114"/>
      <c r="EU38" s="116">
        <f>IFERROR(EU36/EU37,0)</f>
        <v>0</v>
      </c>
      <c r="EV38" s="116">
        <f>IFERROR(EV36/EV37,0)</f>
        <v>0</v>
      </c>
      <c r="EZ38" s="14" t="s">
        <v>24</v>
      </c>
      <c r="FA38" s="116">
        <f>IFERROR(FA36/FA37,0)</f>
        <v>0</v>
      </c>
      <c r="FB38" s="116">
        <f>IFERROR(FB36/FB37,0)</f>
        <v>0</v>
      </c>
      <c r="FC38" s="114"/>
      <c r="FD38" s="114"/>
      <c r="FE38" s="114"/>
      <c r="FF38" s="116">
        <f>IFERROR(FF36/FF37,0)</f>
        <v>0</v>
      </c>
      <c r="FG38" s="116">
        <f>IFERROR(FG36/FG37,0)</f>
        <v>0</v>
      </c>
      <c r="FK38" s="14" t="s">
        <v>24</v>
      </c>
      <c r="FL38" s="116">
        <f>IFERROR(FL36/FL37,0)</f>
        <v>0</v>
      </c>
      <c r="FM38" s="116">
        <f>IFERROR(FM36/FM37,0)</f>
        <v>0</v>
      </c>
      <c r="FN38" s="114"/>
      <c r="FO38" s="114"/>
      <c r="FP38" s="114"/>
      <c r="FQ38" s="116">
        <f>IFERROR(FQ36/FQ37,0)</f>
        <v>0</v>
      </c>
      <c r="FR38" s="116">
        <f>IFERROR(FR36/FR37,0)</f>
        <v>0</v>
      </c>
    </row>
    <row r="40" spans="2:174" x14ac:dyDescent="0.3">
      <c r="AI40" s="147" t="s">
        <v>115</v>
      </c>
      <c r="BP40" s="68" t="s">
        <v>103</v>
      </c>
      <c r="BQ40" s="122">
        <f>CM31+CX31+DI31+DT31+EE31+EP31</f>
        <v>54889.129518098773</v>
      </c>
      <c r="BR40" s="122">
        <f>CN31+CY31+DJ31+DU31+EF31+EQ31</f>
        <v>56789.96318043377</v>
      </c>
      <c r="BS40" s="68"/>
      <c r="BT40" s="68"/>
      <c r="BU40" s="68"/>
      <c r="BV40" s="122">
        <f>CR31+DC31+DN31+DY31+EJ31+EU31</f>
        <v>58735.97576878214</v>
      </c>
      <c r="BW40" s="122">
        <f>CS31+DD31+DO31+DZ31+EK31+EV31</f>
        <v>63604.320496495799</v>
      </c>
      <c r="CW40" s="147" t="s">
        <v>114</v>
      </c>
    </row>
    <row r="41" spans="2:174" x14ac:dyDescent="0.3">
      <c r="BP41" s="68" t="s">
        <v>112</v>
      </c>
      <c r="BQ41" s="122">
        <f>CB34+DI34+DT34+EE34+EP34</f>
        <v>55954.377807554563</v>
      </c>
      <c r="BR41" s="122">
        <f>CC34+DJ34+DU34+EF34+EQ34</f>
        <v>59265.309327101451</v>
      </c>
      <c r="BS41" s="68"/>
      <c r="BT41" s="68"/>
      <c r="BU41" s="68"/>
      <c r="BV41" s="122">
        <f>CG34+DN34+DY34+EJ34+EU34</f>
        <v>62674.597394863908</v>
      </c>
      <c r="BW41" s="122">
        <f>CH34+DO34+DZ34+EK34+EV34</f>
        <v>67429.493005035416</v>
      </c>
    </row>
    <row r="43" spans="2:174" x14ac:dyDescent="0.3">
      <c r="AI43" s="69" t="s">
        <v>72</v>
      </c>
      <c r="AJ43" s="69"/>
      <c r="AK43" s="69"/>
      <c r="AL43" s="69"/>
      <c r="AM43" s="69"/>
      <c r="AN43" s="69"/>
      <c r="AO43" s="69"/>
      <c r="AP43" s="69"/>
      <c r="AQ43" s="69"/>
      <c r="AR43" s="69"/>
      <c r="BP43" s="69" t="s">
        <v>72</v>
      </c>
      <c r="BQ43" s="69"/>
      <c r="BR43" s="69"/>
      <c r="BS43" s="69"/>
      <c r="BT43" s="69"/>
      <c r="BU43" s="69"/>
      <c r="BV43" s="69"/>
      <c r="BW43" s="69"/>
      <c r="BX43" s="69"/>
      <c r="BY43" s="69"/>
    </row>
    <row r="45" spans="2:174" ht="15" thickBot="1" x14ac:dyDescent="0.35"/>
    <row r="46" spans="2:174" ht="28.8" thickTop="1" thickBot="1" x14ac:dyDescent="0.35">
      <c r="AJ46" s="1" t="s">
        <v>2</v>
      </c>
      <c r="AK46" s="1" t="s">
        <v>3</v>
      </c>
      <c r="AL46" s="2"/>
      <c r="AM46" s="3" t="s">
        <v>4</v>
      </c>
      <c r="AN46" s="4"/>
      <c r="AO46" s="1" t="s">
        <v>5</v>
      </c>
      <c r="AP46" s="1" t="s">
        <v>6</v>
      </c>
      <c r="AQ46" s="2"/>
      <c r="AR46" s="99" t="s">
        <v>7</v>
      </c>
      <c r="BQ46" s="1" t="s">
        <v>2</v>
      </c>
      <c r="BR46" s="1" t="s">
        <v>3</v>
      </c>
      <c r="BS46" s="2"/>
      <c r="BT46" s="3" t="s">
        <v>4</v>
      </c>
      <c r="BU46" s="4"/>
      <c r="BV46" s="1" t="s">
        <v>5</v>
      </c>
      <c r="BW46" s="1" t="s">
        <v>6</v>
      </c>
      <c r="BX46" s="2"/>
      <c r="BY46" s="3" t="s">
        <v>7</v>
      </c>
    </row>
    <row r="47" spans="2:174" ht="15" thickTop="1" x14ac:dyDescent="0.3">
      <c r="AI47" t="s">
        <v>8</v>
      </c>
      <c r="AJ47" s="55">
        <f>SUM('[3]AN01010201:AC'!$E$272:$H$275)/1000</f>
        <v>-118.02602609925735</v>
      </c>
      <c r="AK47" s="55">
        <f>SUM('[3]AN01010201:AC'!$I$272:$I$275)/1000</f>
        <v>-146.04421310470258</v>
      </c>
      <c r="AL47" s="15"/>
      <c r="AM47" s="60">
        <f>(AK47-AJ47)/AJ47</f>
        <v>0.23738990400204218</v>
      </c>
      <c r="AN47" s="15"/>
      <c r="AO47" s="55">
        <f>SUM('[3]AN01010201:AC'!$J$272:$J$275)/1000</f>
        <v>-148.62032070698325</v>
      </c>
      <c r="AP47" s="55">
        <f>SUM('[3]AN01010201:AC'!$K$272:$K$275)/1000</f>
        <v>-195.72363700879708</v>
      </c>
      <c r="AR47" s="60">
        <f>((AP47/AJ47)^(1/3))-1</f>
        <v>0.18364598928540632</v>
      </c>
      <c r="BP47" t="s">
        <v>8</v>
      </c>
      <c r="BQ47" s="55">
        <f>SUM('[5]AN01010201:AC'!$E$272:$H$275)/1000</f>
        <v>1806.7620659580414</v>
      </c>
      <c r="BR47" s="55">
        <f>SUM('[5]AN01010201:AC'!$I$272:$I$275)/1000</f>
        <v>1895.0252653158818</v>
      </c>
      <c r="BS47" s="15"/>
      <c r="BT47" s="60">
        <f>(BR47-BQ47)/BQ47</f>
        <v>4.885158982515974E-2</v>
      </c>
      <c r="BU47" s="15"/>
      <c r="BV47" s="55">
        <f>SUM('[5]AN01010201:AC'!$J$272:$J$275)/1000</f>
        <v>2101.2324951466094</v>
      </c>
      <c r="BW47" s="55">
        <f>SUM('[5]AN01010201:AC'!$K$272:$K$275)/1000</f>
        <v>2340.2071360458472</v>
      </c>
      <c r="BY47" s="60">
        <f>((BW47/BQ47)^(1/3))-1</f>
        <v>9.0061778220535738E-2</v>
      </c>
    </row>
    <row r="48" spans="2:174" x14ac:dyDescent="0.3">
      <c r="AI48" t="s">
        <v>9</v>
      </c>
      <c r="AJ48" s="55">
        <f>SUM('[3]AN01010201:AC'!$E$277:$H$277,'[3]AN01010201:AC'!$E$283:$H$376)/1000</f>
        <v>-88.226061950000016</v>
      </c>
      <c r="AK48" s="55">
        <f>SUM('[3]AN01010201:AC'!$I$277,'[3]AN01010201:AC'!$I$283:$I$376)/1000</f>
        <v>49.999999999999979</v>
      </c>
      <c r="AL48" s="15"/>
      <c r="AM48" s="60">
        <f t="shared" ref="AM48:AM50" si="118">(AK48-AJ48)/AJ48</f>
        <v>-1.5667259639032316</v>
      </c>
      <c r="AN48" s="15"/>
      <c r="AO48" s="55">
        <f>SUM('[3]AN01010201:AC'!$J$277,'[3]AN01010201:AC'!$J$283:$J$376)/1000</f>
        <v>70.000000000000014</v>
      </c>
      <c r="AP48" s="55">
        <f>SUM('[3]AN01010201:AC'!$K$277,'[3]AN01010201:AC'!$K$283:$K$376)/1000</f>
        <v>70.000000000000014</v>
      </c>
      <c r="AR48" s="60">
        <f t="shared" ref="AR48:AR50" si="119">((AP48/AJ48)^(1/3))-1</f>
        <v>-1.9257641990427041</v>
      </c>
      <c r="BP48" t="s">
        <v>9</v>
      </c>
      <c r="BQ48" s="55">
        <f>SUM('[5]AN01010201:AC'!$E$277:$H$277,'[5]AN01010201:AC'!$E$283:$H$376)/1000</f>
        <v>666.86375129077146</v>
      </c>
      <c r="BR48" s="55">
        <f>SUM('[5]AN01010201:AC'!$I$277,'[5]AN01010201:AC'!$I$283:$I$376)/1000</f>
        <v>498.96646873903018</v>
      </c>
      <c r="BS48" s="15"/>
      <c r="BT48" s="60">
        <f t="shared" ref="BT48:BT50" si="120">(BR48-BQ48)/BQ48</f>
        <v>-0.25177149339240862</v>
      </c>
      <c r="BU48" s="15"/>
      <c r="BV48" s="55">
        <f>SUM('[5]AN01010201:AC'!$J$277,'[5]AN01010201:AC'!$J$283:$J$376)/1000</f>
        <v>558.36751099720755</v>
      </c>
      <c r="BW48" s="55">
        <f>SUM('[5]AN01010201:AC'!$K$277,'[5]AN01010201:AC'!$K$283:$K$376)/1000</f>
        <v>625.0073250654624</v>
      </c>
      <c r="BY48" s="60">
        <f t="shared" ref="BY48:BY50" si="121">((BW48/BQ48)^(1/3))-1</f>
        <v>-2.1375692568250448E-2</v>
      </c>
    </row>
    <row r="49" spans="35:77" x14ac:dyDescent="0.3">
      <c r="AI49" t="s">
        <v>10</v>
      </c>
      <c r="AJ49" s="55">
        <f>SUM('[3]AN01010201:AC'!$E$378:$H$384)/1000</f>
        <v>-1.315426930000001E-3</v>
      </c>
      <c r="AK49" s="55">
        <f>SUM('[3]AN01010201:AC'!$I$378:$I$384)/1000</f>
        <v>0</v>
      </c>
      <c r="AL49" s="15"/>
      <c r="AM49" s="60">
        <f t="shared" si="118"/>
        <v>-1</v>
      </c>
      <c r="AN49" s="15"/>
      <c r="AO49" s="55">
        <f>SUM('[3]AN01010201:AC'!$J$378:$J$384)/1000</f>
        <v>0</v>
      </c>
      <c r="AP49" s="55">
        <f>SUM('[3]AN01010201:AC'!$K$378:$K$384)/1000</f>
        <v>0</v>
      </c>
      <c r="AR49" s="60">
        <f t="shared" si="119"/>
        <v>-1</v>
      </c>
      <c r="BP49" t="s">
        <v>100</v>
      </c>
      <c r="BQ49" s="55">
        <f>SUM('[5]AN01010201:AC'!$E$378:$H$384)/1000</f>
        <v>44.11205028593168</v>
      </c>
      <c r="BR49" s="55">
        <f>SUM('[5]AN01010201:AC'!$I$378:$I$384)/1000</f>
        <v>70.264468520636498</v>
      </c>
      <c r="BS49" s="15"/>
      <c r="BT49" s="60">
        <f t="shared" si="120"/>
        <v>0.592863357408835</v>
      </c>
      <c r="BU49" s="15"/>
      <c r="BV49" s="55">
        <f>SUM('[5]AN01010201:AC'!$J$378:$J$384)/1000</f>
        <v>31.247490508352946</v>
      </c>
      <c r="BW49" s="55">
        <f>SUM('[5]AN01010201:AC'!$K$378:$K$384)/1000</f>
        <v>-19.740597987779484</v>
      </c>
      <c r="BY49" s="60">
        <f t="shared" si="121"/>
        <v>-1.7648935877347598</v>
      </c>
    </row>
    <row r="50" spans="35:77" x14ac:dyDescent="0.3">
      <c r="AI50" s="6" t="s">
        <v>11</v>
      </c>
      <c r="AJ50" s="56">
        <f>AJ47+AJ48+AJ49</f>
        <v>-206.25340347618737</v>
      </c>
      <c r="AK50" s="56">
        <f>AK47+AK48+AK49</f>
        <v>-96.044213104702607</v>
      </c>
      <c r="AL50" s="18"/>
      <c r="AM50" s="61">
        <f t="shared" si="118"/>
        <v>-0.53433877218035231</v>
      </c>
      <c r="AN50" s="18"/>
      <c r="AO50" s="56">
        <f>AO47+AO48+AO49</f>
        <v>-78.620320706983236</v>
      </c>
      <c r="AP50" s="56">
        <f>AP47+AP48+AP49</f>
        <v>-125.72363700879707</v>
      </c>
      <c r="AQ50" s="7"/>
      <c r="AR50" s="61">
        <f t="shared" si="119"/>
        <v>-0.15211177493647499</v>
      </c>
      <c r="BP50" s="6" t="s">
        <v>11</v>
      </c>
      <c r="BQ50" s="56">
        <f>BQ47+BQ48+BQ49</f>
        <v>2517.7378675347445</v>
      </c>
      <c r="BR50" s="56">
        <f>BR47+BR48+BR49</f>
        <v>2464.2562025755483</v>
      </c>
      <c r="BS50" s="18"/>
      <c r="BT50" s="61">
        <f t="shared" si="120"/>
        <v>-2.1241951216932311E-2</v>
      </c>
      <c r="BU50" s="18"/>
      <c r="BV50" s="56">
        <f>BV47+BV48+BV49</f>
        <v>2690.8474966521703</v>
      </c>
      <c r="BW50" s="56">
        <f>BW47+BW48+BW49</f>
        <v>2945.47386312353</v>
      </c>
      <c r="BX50" s="7"/>
      <c r="BY50" s="61">
        <f t="shared" si="121"/>
        <v>5.3694922166797499E-2</v>
      </c>
    </row>
    <row r="51" spans="35:77" x14ac:dyDescent="0.3">
      <c r="AJ51" s="55"/>
      <c r="AK51" s="55"/>
      <c r="AL51" s="15"/>
      <c r="AM51" s="60"/>
      <c r="AN51" s="15"/>
      <c r="AO51" s="55"/>
      <c r="AP51" s="55"/>
      <c r="AR51" s="60"/>
      <c r="BQ51" s="55"/>
      <c r="BR51" s="55"/>
      <c r="BS51" s="15"/>
      <c r="BT51" s="60"/>
      <c r="BU51" s="15"/>
      <c r="BV51" s="55"/>
      <c r="BW51" s="55"/>
      <c r="BY51" s="60"/>
    </row>
    <row r="52" spans="35:77" x14ac:dyDescent="0.3">
      <c r="AI52" t="s">
        <v>12</v>
      </c>
      <c r="AJ52" s="55">
        <f>SUM('[3]AN01010201:AC'!$E$386:$H$386)/1000</f>
        <v>-16.322973144380008</v>
      </c>
      <c r="AK52" s="55">
        <f>SUM('[3]AN01010201:AC'!$I$386)/1000</f>
        <v>-114.99999999999999</v>
      </c>
      <c r="AL52" s="15"/>
      <c r="AM52" s="60">
        <f t="shared" ref="AM52:AM54" si="122">(AK52-AJ52)/AJ52</f>
        <v>6.0452851317466285</v>
      </c>
      <c r="AN52" s="15"/>
      <c r="AO52" s="55">
        <f>SUM('[3]AN01010201:AC'!$J$386)/1000</f>
        <v>-115.00000000000003</v>
      </c>
      <c r="AP52" s="55">
        <f>SUM('[3]AN01010201:AC'!$K$386)/1000</f>
        <v>-90.000000000000014</v>
      </c>
      <c r="AR52" s="60">
        <f t="shared" ref="AR52:AR54" si="123">((AP52/AJ52)^(1/3))-1</f>
        <v>0.76663873220833678</v>
      </c>
      <c r="BP52" t="s">
        <v>12</v>
      </c>
      <c r="BQ52" s="55">
        <f>SUM('[5]AN01010201:AC'!$E$386:$H$386)/1000</f>
        <v>-997.57592879037725</v>
      </c>
      <c r="BR52" s="55">
        <f>SUM('[5]AN01010201:AC'!$I$386)/1000</f>
        <v>-950.58960136539179</v>
      </c>
      <c r="BS52" s="15"/>
      <c r="BT52" s="60">
        <f t="shared" ref="BT52:BT54" si="124">(BR52-BQ52)/BQ52</f>
        <v>-4.7100502396804321E-2</v>
      </c>
      <c r="BU52" s="15"/>
      <c r="BV52" s="55">
        <f>SUM('[5]AN01010201:AC'!$J$386)/1000</f>
        <v>-969.82218285296426</v>
      </c>
      <c r="BW52" s="55">
        <f>SUM('[5]AN01010201:AC'!$K$386)/1000</f>
        <v>-974.63331289216342</v>
      </c>
      <c r="BY52" s="60">
        <f t="shared" ref="BY52:BY54" si="125">((BW52/BQ52)^(1/3))-1</f>
        <v>-7.7256538821720566E-3</v>
      </c>
    </row>
    <row r="53" spans="35:77" x14ac:dyDescent="0.3">
      <c r="AI53" t="s">
        <v>13</v>
      </c>
      <c r="AJ53" s="55">
        <f>SUM('[3]AN01010201:AC'!$E$387:$H$388)/1000</f>
        <v>-188.29224296283996</v>
      </c>
      <c r="AK53" s="55">
        <f>SUM('[3]AN01010201:AC'!$I$387:$I$388)/1000</f>
        <v>-211.00231299999999</v>
      </c>
      <c r="AL53" s="15"/>
      <c r="AM53" s="60">
        <f t="shared" si="122"/>
        <v>0.12061075740460495</v>
      </c>
      <c r="AN53" s="15"/>
      <c r="AO53" s="55">
        <f>SUM('[3]AN01010201:AC'!$J$387:$J$388)/1000</f>
        <v>-196.99999999999997</v>
      </c>
      <c r="AP53" s="55">
        <f>SUM('[3]AN01010201:AC'!$K$387:$K$388)/1000</f>
        <v>-171.00000000000003</v>
      </c>
      <c r="AR53" s="60">
        <f t="shared" si="123"/>
        <v>-3.1600491126552388E-2</v>
      </c>
      <c r="BP53" t="s">
        <v>13</v>
      </c>
      <c r="BQ53" s="55">
        <f>SUM('[5]AN01010201:AC'!$E$387:$H$388)/1000</f>
        <v>-970.40875870631157</v>
      </c>
      <c r="BR53" s="55">
        <f>SUM('[5]AN01010201:AC'!$I$387:$I$388)/1000</f>
        <v>-1064.3950275226148</v>
      </c>
      <c r="BS53" s="15"/>
      <c r="BT53" s="60">
        <f t="shared" si="124"/>
        <v>9.6852247027942984E-2</v>
      </c>
      <c r="BU53" s="15"/>
      <c r="BV53" s="55">
        <f>SUM('[5]AN01010201:AC'!$J$387:$J$388)/1000</f>
        <v>-1027.2822927706743</v>
      </c>
      <c r="BW53" s="55">
        <f>SUM('[5]AN01010201:AC'!$K$387:$K$388)/1000</f>
        <v>-986.8855402087753</v>
      </c>
      <c r="BY53" s="60">
        <f t="shared" si="125"/>
        <v>5.6280053439614619E-3</v>
      </c>
    </row>
    <row r="54" spans="35:77" x14ac:dyDescent="0.3">
      <c r="AI54" s="6" t="s">
        <v>14</v>
      </c>
      <c r="AJ54" s="56">
        <f>AJ52+AJ53</f>
        <v>-204.61521610721996</v>
      </c>
      <c r="AK54" s="56">
        <f>AK52+AK53</f>
        <v>-326.00231299999996</v>
      </c>
      <c r="AL54" s="18"/>
      <c r="AM54" s="61">
        <f t="shared" si="122"/>
        <v>0.59324569893752288</v>
      </c>
      <c r="AN54" s="18"/>
      <c r="AO54" s="56">
        <f>AO52+AO53</f>
        <v>-312</v>
      </c>
      <c r="AP54" s="56">
        <f>AP52+AP53</f>
        <v>-261.00000000000006</v>
      </c>
      <c r="AQ54" s="7"/>
      <c r="AR54" s="61">
        <f t="shared" si="123"/>
        <v>8.4511579879471332E-2</v>
      </c>
      <c r="BP54" s="6" t="s">
        <v>14</v>
      </c>
      <c r="BQ54" s="56">
        <f>BQ52+BQ53</f>
        <v>-1967.9846874966888</v>
      </c>
      <c r="BR54" s="56">
        <f>BR52+BR53</f>
        <v>-2014.9846288880067</v>
      </c>
      <c r="BS54" s="18"/>
      <c r="BT54" s="61">
        <f t="shared" si="124"/>
        <v>2.3882269862121039E-2</v>
      </c>
      <c r="BU54" s="18"/>
      <c r="BV54" s="56">
        <f>BV52+BV53</f>
        <v>-1997.1044756236386</v>
      </c>
      <c r="BW54" s="56">
        <f>BW52+BW53</f>
        <v>-1961.5188531009387</v>
      </c>
      <c r="BX54" s="7"/>
      <c r="BY54" s="61">
        <f t="shared" si="125"/>
        <v>-1.0963717653919014E-3</v>
      </c>
    </row>
    <row r="55" spans="35:77" ht="15" thickBot="1" x14ac:dyDescent="0.35">
      <c r="AJ55" s="55"/>
      <c r="AK55" s="55"/>
      <c r="AL55" s="15"/>
      <c r="AM55" s="60"/>
      <c r="AN55" s="15"/>
      <c r="AO55" s="55"/>
      <c r="AP55" s="55"/>
      <c r="AR55" s="60"/>
      <c r="BQ55" s="55"/>
      <c r="BR55" s="55"/>
      <c r="BS55" s="15"/>
      <c r="BT55" s="60"/>
      <c r="BU55" s="15"/>
      <c r="BV55" s="55"/>
      <c r="BW55" s="55"/>
      <c r="BY55" s="60"/>
    </row>
    <row r="56" spans="35:77" ht="24" thickTop="1" thickBot="1" x14ac:dyDescent="0.35">
      <c r="AI56" s="8" t="s">
        <v>15</v>
      </c>
      <c r="AJ56" s="57">
        <f>AJ50+AJ54</f>
        <v>-410.86861958340734</v>
      </c>
      <c r="AK56" s="57">
        <f>AK50+AK54</f>
        <v>-422.04652610470259</v>
      </c>
      <c r="AL56" s="17"/>
      <c r="AM56" s="65">
        <f t="shared" ref="AM56:AM61" si="126">(AK56-AJ56)/AJ56</f>
        <v>2.7205549386149004E-2</v>
      </c>
      <c r="AN56" s="17"/>
      <c r="AO56" s="57">
        <f>AO50+AO54</f>
        <v>-390.62032070698325</v>
      </c>
      <c r="AP56" s="57">
        <f>AP50+AP54</f>
        <v>-386.72363700879714</v>
      </c>
      <c r="AQ56" s="17"/>
      <c r="AR56" s="112">
        <f t="shared" ref="AR56:AR61" si="127">((AP56/AJ56)^(1/3))-1</f>
        <v>-1.9985319290586778E-2</v>
      </c>
      <c r="BP56" s="8" t="s">
        <v>15</v>
      </c>
      <c r="BQ56" s="57">
        <f>BQ50+BQ54</f>
        <v>549.75318003805569</v>
      </c>
      <c r="BR56" s="57">
        <f>BR50+BR54</f>
        <v>449.2715736875416</v>
      </c>
      <c r="BS56" s="17"/>
      <c r="BT56" s="65">
        <f t="shared" ref="BT56:BT61" si="128">(BR56-BQ56)/BQ56</f>
        <v>-0.18277585287193504</v>
      </c>
      <c r="BU56" s="17"/>
      <c r="BV56" s="57">
        <f>BV50+BV54</f>
        <v>693.74302102853176</v>
      </c>
      <c r="BW56" s="57">
        <f>BW50+BW54</f>
        <v>983.9550100225913</v>
      </c>
      <c r="BX56" s="17"/>
      <c r="BY56" s="65">
        <f t="shared" ref="BY56:BY61" si="129">((BW56/BQ56)^(1/3))-1</f>
        <v>0.21414110844122192</v>
      </c>
    </row>
    <row r="57" spans="35:77" ht="16.2" thickTop="1" x14ac:dyDescent="0.3">
      <c r="AI57" s="9" t="s">
        <v>16</v>
      </c>
      <c r="AJ57" s="62">
        <f>SUM('[3]AN01010201:AC'!$E$390:$H$390,'[3]AN01010201:AC'!$E$392:$H$393)/1000</f>
        <v>-7.4884530000000005E-2</v>
      </c>
      <c r="AK57" s="62">
        <f>(SUM('[3]AN01010201:AC'!$I$390,'[3]AN01010201:AC'!$I$392:$I$393))/1000</f>
        <v>0</v>
      </c>
      <c r="AM57" s="60">
        <f t="shared" si="126"/>
        <v>-1</v>
      </c>
      <c r="AO57" s="62">
        <f>(SUM('[3]AN01010201:AC'!$J$390,'[3]AN01010201:AC'!$J$392:$J$393))/1000</f>
        <v>0</v>
      </c>
      <c r="AP57" s="62">
        <f>(SUM('[3]AN01010201:AC'!$K$390,'[3]AN01010201:AC'!$K$392:$K$393))/1000</f>
        <v>0</v>
      </c>
      <c r="AR57" s="60">
        <f t="shared" si="127"/>
        <v>-1</v>
      </c>
      <c r="BP57" s="9" t="s">
        <v>16</v>
      </c>
      <c r="BQ57" s="62">
        <f>SUM('[5]AN01010201:AC'!$E$390:$H$390,'[5]AN01010201:AC'!$E$392:$H$393)/1000</f>
        <v>-29.596519950966933</v>
      </c>
      <c r="BR57" s="62">
        <f>(SUM('[5]AN01010201:AC'!$I$390,'[5]AN01010201:AC'!$I$392:$I$393))/1000</f>
        <v>-180.00591055354457</v>
      </c>
      <c r="BT57" s="60">
        <f t="shared" si="128"/>
        <v>5.0819958174732536</v>
      </c>
      <c r="BV57" s="62">
        <f>(SUM('[5]AN01010201:AC'!$J$390,'[5]AN01010201:AC'!$J$392:$J$393))/1000</f>
        <v>-200.01035868471232</v>
      </c>
      <c r="BW57" s="62">
        <f>(SUM('[5]AN01010201:AC'!$K$390,'[5]AN01010201:AC'!$K$392:$K$393))/1000</f>
        <v>-223.39551787171183</v>
      </c>
      <c r="BY57" s="60">
        <f t="shared" si="129"/>
        <v>0.96160368631955584</v>
      </c>
    </row>
    <row r="58" spans="35:77" ht="16.2" thickBot="1" x14ac:dyDescent="0.35">
      <c r="AI58" s="10" t="s">
        <v>17</v>
      </c>
      <c r="AJ58" s="62">
        <f>SUM('[3]AN01010201:AC'!$E$397:$H$398)/1000</f>
        <v>-6.2610293800000001</v>
      </c>
      <c r="AK58" s="62">
        <f>(SUM('[3]AN01010201:AC'!$I$397:$I$398))/1000</f>
        <v>0</v>
      </c>
      <c r="AM58" s="60">
        <f t="shared" si="126"/>
        <v>-1</v>
      </c>
      <c r="AO58" s="62">
        <f>(SUM('[3]AN01010201:AC'!$J$397:$J$398))/1000</f>
        <v>0</v>
      </c>
      <c r="AP58" s="62">
        <f>(SUM('[3]AN01010201:AC'!$K$397:$K$398))/1000</f>
        <v>0</v>
      </c>
      <c r="AR58" s="60">
        <f t="shared" si="127"/>
        <v>-1</v>
      </c>
      <c r="BP58" s="10" t="s">
        <v>17</v>
      </c>
      <c r="BQ58" s="62">
        <f>SUM('[5]AN01010201:AC'!$E$397:$H$398)/1000</f>
        <v>-20.113713672219994</v>
      </c>
      <c r="BR58" s="62">
        <f>(SUM('[5]AN01010201:AC'!$I$397:$I$398))/1000</f>
        <v>-24.212115575999995</v>
      </c>
      <c r="BT58" s="60">
        <f t="shared" si="128"/>
        <v>0.2037615713621547</v>
      </c>
      <c r="BV58" s="62">
        <f>(SUM('[5]AN01010201:AC'!$J$397:$J$398))/1000</f>
        <v>-24.212115575999995</v>
      </c>
      <c r="BW58" s="62">
        <f>(SUM('[5]AN01010201:AC'!$K$397:$K$398))/1000</f>
        <v>-24.212115575999995</v>
      </c>
      <c r="BY58" s="60">
        <f t="shared" si="129"/>
        <v>6.3767762691744112E-2</v>
      </c>
    </row>
    <row r="59" spans="35:77" ht="24" thickTop="1" thickBot="1" x14ac:dyDescent="0.35">
      <c r="AI59" s="8" t="s">
        <v>18</v>
      </c>
      <c r="AJ59" s="57">
        <f>AJ56+AJ57+AJ58</f>
        <v>-417.20453349340738</v>
      </c>
      <c r="AK59" s="57">
        <f>AK56+AK57+AK58</f>
        <v>-422.04652610470259</v>
      </c>
      <c r="AL59" s="17"/>
      <c r="AM59" s="65">
        <f t="shared" si="126"/>
        <v>1.1605800566814128E-2</v>
      </c>
      <c r="AN59" s="17"/>
      <c r="AO59" s="57">
        <f>AO56+AO57+AO58</f>
        <v>-390.62032070698325</v>
      </c>
      <c r="AP59" s="57">
        <f>AP56+AP57+AP58</f>
        <v>-386.72363700879714</v>
      </c>
      <c r="AQ59" s="17"/>
      <c r="AR59" s="112">
        <f t="shared" si="127"/>
        <v>-2.497167386215382E-2</v>
      </c>
      <c r="BP59" s="8" t="s">
        <v>18</v>
      </c>
      <c r="BQ59" s="57">
        <f>BQ56+BQ57+BQ58</f>
        <v>500.04294641486877</v>
      </c>
      <c r="BR59" s="57">
        <f>BR56+BR57+BR58</f>
        <v>245.05354755799701</v>
      </c>
      <c r="BS59" s="17"/>
      <c r="BT59" s="65">
        <f t="shared" si="128"/>
        <v>-0.50993499795378705</v>
      </c>
      <c r="BU59" s="17"/>
      <c r="BV59" s="57">
        <f>BV56+BV57+BV58</f>
        <v>469.5205467678195</v>
      </c>
      <c r="BW59" s="57">
        <f>BW56+BW57+BW58</f>
        <v>736.34737657487949</v>
      </c>
      <c r="BX59" s="17"/>
      <c r="BY59" s="65">
        <f t="shared" si="129"/>
        <v>0.13769315757793876</v>
      </c>
    </row>
    <row r="60" spans="35:77" ht="16.8" thickTop="1" thickBot="1" x14ac:dyDescent="0.35">
      <c r="AI60" s="11" t="s">
        <v>19</v>
      </c>
      <c r="AJ60" s="62">
        <f>SUM('[3]AN01010201:AC'!$E$400:$H$400)/1000</f>
        <v>103.42620308971033</v>
      </c>
      <c r="AK60" s="62">
        <f>SUM('[3]AN01010201:AC'!$I$400)/1000</f>
        <v>91.17300989751503</v>
      </c>
      <c r="AM60" s="60">
        <f t="shared" si="126"/>
        <v>-0.1184728127510111</v>
      </c>
      <c r="AO60" s="62">
        <f>SUM('[3]AN01010201:AC'!$J$400)/1000</f>
        <v>79.44325016542038</v>
      </c>
      <c r="AP60" s="62">
        <f>SUM('[3]AN01010201:AC'!$K$400)/1000</f>
        <v>64.682436796202083</v>
      </c>
      <c r="AR60" s="60">
        <f t="shared" si="127"/>
        <v>-0.14483103701188393</v>
      </c>
      <c r="BP60" s="11" t="s">
        <v>19</v>
      </c>
      <c r="BQ60" s="62">
        <f>SUM('[5]AN01010201:AC'!$E$400:$H$400)/1000</f>
        <v>-83.189664072941042</v>
      </c>
      <c r="BR60" s="62">
        <f>SUM('[5]AN01010201:AC'!$I$400)/1000</f>
        <v>-15.345880170571167</v>
      </c>
      <c r="BT60" s="60">
        <f t="shared" si="128"/>
        <v>-0.81553140835962712</v>
      </c>
      <c r="BV60" s="62">
        <f>SUM('[5]AN01010201:AC'!$J$400)/1000</f>
        <v>-120.63988089058678</v>
      </c>
      <c r="BW60" s="62">
        <f>SUM('[5]AN01010201:AC'!$K$400)/1000</f>
        <v>-223.95014661787187</v>
      </c>
      <c r="BY60" s="60">
        <f t="shared" si="129"/>
        <v>0.39110739783182513</v>
      </c>
    </row>
    <row r="61" spans="35:77" ht="24" thickTop="1" thickBot="1" x14ac:dyDescent="0.35">
      <c r="AI61" s="8" t="s">
        <v>20</v>
      </c>
      <c r="AJ61" s="57">
        <f>AJ59+AJ60</f>
        <v>-313.77833040369705</v>
      </c>
      <c r="AK61" s="57">
        <f>AK59+AK60</f>
        <v>-330.87351620718755</v>
      </c>
      <c r="AL61" s="17"/>
      <c r="AM61" s="65">
        <f t="shared" si="126"/>
        <v>5.4481728491245336E-2</v>
      </c>
      <c r="AN61" s="17"/>
      <c r="AO61" s="57">
        <f>AO59+AO60</f>
        <v>-311.1770705415629</v>
      </c>
      <c r="AP61" s="57">
        <f>AP59+AP60</f>
        <v>-322.04120021259507</v>
      </c>
      <c r="AQ61" s="17"/>
      <c r="AR61" s="112">
        <f t="shared" si="127"/>
        <v>8.7018784086954071E-3</v>
      </c>
      <c r="BP61" s="8" t="s">
        <v>20</v>
      </c>
      <c r="BQ61" s="57">
        <f>BQ59+BQ60</f>
        <v>416.85328234192775</v>
      </c>
      <c r="BR61" s="57">
        <f>BR59+BR60</f>
        <v>229.70766738742583</v>
      </c>
      <c r="BS61" s="17"/>
      <c r="BT61" s="65">
        <f t="shared" si="128"/>
        <v>-0.44894840194875568</v>
      </c>
      <c r="BU61" s="17"/>
      <c r="BV61" s="57">
        <f>BV59+BV60</f>
        <v>348.88066587723273</v>
      </c>
      <c r="BW61" s="57">
        <f>BW59+BW60</f>
        <v>512.39722995700765</v>
      </c>
      <c r="BX61" s="17"/>
      <c r="BY61" s="65">
        <f t="shared" si="129"/>
        <v>7.1209747544832114E-2</v>
      </c>
    </row>
    <row r="62" spans="35:77" ht="15" thickTop="1" x14ac:dyDescent="0.3"/>
    <row r="65" spans="35:75" x14ac:dyDescent="0.3">
      <c r="AI65" s="68" t="s">
        <v>73</v>
      </c>
      <c r="AJ65" s="67">
        <f>SUM('[3]AN01010201:AC'!$E$272:$H$406)/1000</f>
        <v>-313.82781840369705</v>
      </c>
      <c r="AK65" s="67">
        <f>SUM('[3]AN01010201:AC'!$I$272:$I$406)/1000</f>
        <v>-330.87351620718755</v>
      </c>
      <c r="AL65" s="67"/>
      <c r="AM65" s="67"/>
      <c r="AN65" s="67"/>
      <c r="AO65" s="67">
        <f>SUM('[3]AN01010201:AC'!$J$272:$J$406)/1000</f>
        <v>-311.17707054156284</v>
      </c>
      <c r="AP65" s="67">
        <f>SUM('[3]AN01010201:AC'!$K$272:$K$406)/1000</f>
        <v>-322.04120021259502</v>
      </c>
      <c r="BP65" s="68" t="s">
        <v>73</v>
      </c>
      <c r="BQ65" s="67">
        <f>SUM('[5]AN01010201:AC'!$E$272:$H$406)/1000</f>
        <v>416.85328234192667</v>
      </c>
      <c r="BR65" s="67">
        <f>SUM('[5]AN01010201:AC'!$I$272:$I$406)/1000</f>
        <v>229.7076673874266</v>
      </c>
      <c r="BS65" s="67"/>
      <c r="BT65" s="67"/>
      <c r="BU65" s="67"/>
      <c r="BV65" s="67">
        <f>SUM('[5]AN01010201:AC'!$J$272:$J$406)/1000</f>
        <v>348.88066587723159</v>
      </c>
      <c r="BW65" s="67">
        <f>SUM('[5]AN01010201:AC'!$K$272:$K$406)/1000</f>
        <v>512.39722995700799</v>
      </c>
    </row>
    <row r="72" spans="35:75" x14ac:dyDescent="0.3">
      <c r="BP72" s="58"/>
    </row>
  </sheetData>
  <mergeCells count="16">
    <mergeCell ref="ED5:EM5"/>
    <mergeCell ref="EO5:EX5"/>
    <mergeCell ref="EZ5:FI5"/>
    <mergeCell ref="FK5:FT5"/>
    <mergeCell ref="CA5:CJ5"/>
    <mergeCell ref="CL5:CU5"/>
    <mergeCell ref="CW5:DF5"/>
    <mergeCell ref="DH5:DQ5"/>
    <mergeCell ref="DS5:EB5"/>
    <mergeCell ref="B5:K5"/>
    <mergeCell ref="M5:V5"/>
    <mergeCell ref="X5:AG5"/>
    <mergeCell ref="AI5:AR5"/>
    <mergeCell ref="BP5:BY5"/>
    <mergeCell ref="AT5:BC5"/>
    <mergeCell ref="BE5:BN5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AR78"/>
  <sheetViews>
    <sheetView topLeftCell="J1" workbookViewId="0">
      <selection activeCell="C26" sqref="C26"/>
    </sheetView>
  </sheetViews>
  <sheetFormatPr defaultRowHeight="14.4" x14ac:dyDescent="0.3"/>
  <cols>
    <col min="2" max="2" width="47.6640625" bestFit="1" customWidth="1"/>
    <col min="3" max="3" width="10.6640625" bestFit="1" customWidth="1"/>
    <col min="4" max="4" width="11.6640625" bestFit="1" customWidth="1"/>
    <col min="5" max="5" width="2.109375" customWidth="1"/>
    <col min="6" max="6" width="9" bestFit="1" customWidth="1"/>
    <col min="7" max="7" width="2.109375" customWidth="1"/>
    <col min="8" max="8" width="11.6640625" bestFit="1" customWidth="1"/>
    <col min="9" max="9" width="11" bestFit="1" customWidth="1"/>
    <col min="10" max="10" width="2.109375" customWidth="1"/>
    <col min="13" max="13" width="47.6640625" bestFit="1" customWidth="1"/>
    <col min="14" max="14" width="10.109375" customWidth="1"/>
    <col min="15" max="15" width="10.33203125" customWidth="1"/>
    <col min="16" max="16" width="2.109375" customWidth="1"/>
    <col min="18" max="18" width="2.109375" customWidth="1"/>
    <col min="21" max="21" width="2.109375" customWidth="1"/>
    <col min="24" max="24" width="63" bestFit="1" customWidth="1"/>
    <col min="27" max="27" width="2.109375" customWidth="1"/>
    <col min="29" max="29" width="2.109375" customWidth="1"/>
    <col min="32" max="32" width="2.109375" customWidth="1"/>
    <col min="35" max="35" width="47.6640625" bestFit="1" customWidth="1"/>
    <col min="36" max="36" width="12.88671875" bestFit="1" customWidth="1"/>
    <col min="37" max="37" width="11.33203125" bestFit="1" customWidth="1"/>
    <col min="38" max="38" width="2.109375" customWidth="1"/>
    <col min="40" max="40" width="2.109375" customWidth="1"/>
    <col min="41" max="42" width="11.33203125" bestFit="1" customWidth="1"/>
    <col min="43" max="43" width="2.109375" customWidth="1"/>
  </cols>
  <sheetData>
    <row r="2" spans="2:44" ht="15" x14ac:dyDescent="0.25">
      <c r="B2" s="5" t="s">
        <v>31</v>
      </c>
    </row>
    <row r="3" spans="2:44" ht="15" x14ac:dyDescent="0.25">
      <c r="B3" s="5" t="s">
        <v>32</v>
      </c>
    </row>
    <row r="5" spans="2:44" ht="18.75" x14ac:dyDescent="0.3">
      <c r="B5" s="216" t="s">
        <v>0</v>
      </c>
      <c r="C5" s="216"/>
      <c r="D5" s="216"/>
      <c r="E5" s="216"/>
      <c r="F5" s="216"/>
      <c r="G5" s="216"/>
      <c r="H5" s="216"/>
      <c r="I5" s="216"/>
      <c r="J5" s="216"/>
      <c r="K5" s="216"/>
      <c r="M5" s="217" t="s">
        <v>1</v>
      </c>
      <c r="N5" s="217"/>
      <c r="O5" s="217"/>
      <c r="P5" s="217"/>
      <c r="Q5" s="217"/>
      <c r="R5" s="217"/>
      <c r="S5" s="217"/>
      <c r="T5" s="217"/>
      <c r="U5" s="217"/>
      <c r="V5" s="217"/>
      <c r="X5" s="217" t="s">
        <v>111</v>
      </c>
      <c r="Y5" s="217"/>
      <c r="Z5" s="217"/>
      <c r="AA5" s="217"/>
      <c r="AB5" s="217"/>
      <c r="AC5" s="217"/>
      <c r="AD5" s="217"/>
      <c r="AE5" s="217"/>
      <c r="AF5" s="217"/>
      <c r="AG5" s="217"/>
      <c r="AI5" s="217" t="s">
        <v>35</v>
      </c>
      <c r="AJ5" s="217"/>
      <c r="AK5" s="217"/>
      <c r="AL5" s="217"/>
      <c r="AM5" s="217"/>
      <c r="AN5" s="217"/>
      <c r="AO5" s="217"/>
      <c r="AP5" s="217"/>
      <c r="AQ5" s="217"/>
      <c r="AR5" s="217"/>
    </row>
    <row r="7" spans="2:44" ht="15.75" thickBot="1" x14ac:dyDescent="0.3"/>
    <row r="8" spans="2:44" ht="28.8" thickTop="1" thickBot="1" x14ac:dyDescent="0.35">
      <c r="C8" s="1" t="s">
        <v>2</v>
      </c>
      <c r="D8" s="1" t="s">
        <v>3</v>
      </c>
      <c r="E8" s="2"/>
      <c r="F8" s="3" t="s">
        <v>4</v>
      </c>
      <c r="G8" s="4"/>
      <c r="H8" s="1" t="s">
        <v>5</v>
      </c>
      <c r="I8" s="1" t="s">
        <v>6</v>
      </c>
      <c r="J8" s="2"/>
      <c r="K8" s="3" t="s">
        <v>7</v>
      </c>
      <c r="N8" s="1" t="s">
        <v>2</v>
      </c>
      <c r="O8" s="1" t="s">
        <v>3</v>
      </c>
      <c r="P8" s="2"/>
      <c r="Q8" s="3" t="s">
        <v>4</v>
      </c>
      <c r="R8" s="4"/>
      <c r="S8" s="1" t="s">
        <v>5</v>
      </c>
      <c r="T8" s="1" t="s">
        <v>6</v>
      </c>
      <c r="U8" s="2"/>
      <c r="V8" s="3" t="s">
        <v>7</v>
      </c>
      <c r="Y8" s="1" t="s">
        <v>2</v>
      </c>
      <c r="Z8" s="1" t="s">
        <v>3</v>
      </c>
      <c r="AA8" s="2"/>
      <c r="AB8" s="3" t="s">
        <v>4</v>
      </c>
      <c r="AC8" s="4"/>
      <c r="AD8" s="1" t="s">
        <v>5</v>
      </c>
      <c r="AE8" s="1" t="s">
        <v>6</v>
      </c>
      <c r="AF8" s="2"/>
      <c r="AG8" s="3" t="s">
        <v>7</v>
      </c>
      <c r="AJ8" s="1" t="s">
        <v>2</v>
      </c>
      <c r="AK8" s="1" t="s">
        <v>3</v>
      </c>
      <c r="AL8" s="2"/>
      <c r="AM8" s="3" t="s">
        <v>4</v>
      </c>
      <c r="AN8" s="4"/>
      <c r="AO8" s="1" t="s">
        <v>5</v>
      </c>
      <c r="AP8" s="1" t="s">
        <v>6</v>
      </c>
      <c r="AQ8" s="2"/>
      <c r="AR8" s="3" t="s">
        <v>7</v>
      </c>
    </row>
    <row r="9" spans="2:44" ht="15.75" customHeight="1" thickTop="1" x14ac:dyDescent="0.3">
      <c r="B9" t="s">
        <v>75</v>
      </c>
      <c r="C9" s="55">
        <f>N9+Y9+AJ9</f>
        <v>12642.878739943406</v>
      </c>
      <c r="D9" s="55">
        <f>O9+Z9+AK9</f>
        <v>13179.62843087765</v>
      </c>
      <c r="E9" s="15"/>
      <c r="F9" s="63">
        <f>IFERROR((D9-C9)/C9,0)</f>
        <v>4.2454705291007727E-2</v>
      </c>
      <c r="G9" s="15"/>
      <c r="H9" s="55">
        <f>S9+AD9+AO9</f>
        <v>13858.400991466135</v>
      </c>
      <c r="I9" s="55">
        <f>T9+AE9+AP9</f>
        <v>14599.74571153744</v>
      </c>
      <c r="K9" s="60">
        <f>IFERROR(((I9/C9)^(1/3))-1,0)</f>
        <v>4.9139180797026505E-2</v>
      </c>
      <c r="M9" t="s">
        <v>75</v>
      </c>
      <c r="N9" s="269">
        <v>0</v>
      </c>
      <c r="O9" s="269">
        <v>0</v>
      </c>
      <c r="P9" s="267"/>
      <c r="Q9" s="272">
        <v>0</v>
      </c>
      <c r="R9" s="267"/>
      <c r="S9" s="269">
        <v>0</v>
      </c>
      <c r="T9" s="269">
        <v>0</v>
      </c>
      <c r="U9" s="265"/>
      <c r="V9" s="270">
        <v>0</v>
      </c>
      <c r="X9" t="s">
        <v>75</v>
      </c>
      <c r="Y9" s="55"/>
      <c r="Z9" s="55"/>
      <c r="AA9" s="15"/>
      <c r="AB9" s="63">
        <f>IFERROR((Z9-Y9)/Y9,0)</f>
        <v>0</v>
      </c>
      <c r="AC9" s="15"/>
      <c r="AD9" s="55"/>
      <c r="AE9" s="55"/>
      <c r="AG9" s="60">
        <f>IFERROR(((AE9/Y9)^(1/3))-1,0)</f>
        <v>0</v>
      </c>
      <c r="AI9" t="s">
        <v>75</v>
      </c>
      <c r="AJ9" s="55">
        <f>SUM([5]AN01010300!$AN$31)/1000</f>
        <v>12642.878739943406</v>
      </c>
      <c r="AK9" s="55">
        <f>[5]AN01010300!$AO$31/1000</f>
        <v>13179.62843087765</v>
      </c>
      <c r="AL9" s="15"/>
      <c r="AM9" s="63">
        <f>IFERROR((AK9-AJ9)/AJ9,0)</f>
        <v>4.2454705291007727E-2</v>
      </c>
      <c r="AN9" s="15"/>
      <c r="AO9" s="55">
        <f>[5]AN01010300!$AP$31/1000</f>
        <v>13858.400991466135</v>
      </c>
      <c r="AP9" s="55">
        <f>[5]AN01010300!$AQ$31/1000</f>
        <v>14599.74571153744</v>
      </c>
      <c r="AR9" s="60">
        <f>IFERROR(((AP9/AJ9)^(1/3))-1,0)</f>
        <v>4.9139180797026505E-2</v>
      </c>
    </row>
    <row r="10" spans="2:44" ht="15" customHeight="1" x14ac:dyDescent="0.3">
      <c r="B10" t="s">
        <v>76</v>
      </c>
      <c r="C10" s="55">
        <f t="shared" ref="C10:C11" si="0">N10+Y10+AJ10</f>
        <v>37413.010990373536</v>
      </c>
      <c r="D10" s="55">
        <f t="shared" ref="D10:D11" si="1">O10+Z10+AK10</f>
        <v>37132.273869950055</v>
      </c>
      <c r="E10" s="15"/>
      <c r="F10" s="63">
        <f t="shared" ref="F10:F11" si="2">IFERROR((D10-C10)/C10,0)</f>
        <v>-7.5037296649477078E-3</v>
      </c>
      <c r="G10" s="15"/>
      <c r="H10" s="55">
        <f t="shared" ref="H10:H11" si="3">S10+AD10+AO10</f>
        <v>38328.800331890758</v>
      </c>
      <c r="I10" s="55">
        <f t="shared" ref="I10:I11" si="4">T10+AE10+AP10</f>
        <v>39356.836021670388</v>
      </c>
      <c r="K10" s="60">
        <f t="shared" ref="K10:K24" si="5">IFERROR(((I10/C10)^(1/3))-1,0)</f>
        <v>1.70270528176375E-2</v>
      </c>
      <c r="M10" t="s">
        <v>76</v>
      </c>
      <c r="N10" s="269">
        <v>36324.830078436011</v>
      </c>
      <c r="O10" s="269">
        <v>36154.662223310268</v>
      </c>
      <c r="P10" s="267"/>
      <c r="Q10" s="272">
        <v>-4.6846153101969164E-3</v>
      </c>
      <c r="R10" s="267"/>
      <c r="S10" s="269">
        <v>37206.047311604096</v>
      </c>
      <c r="T10" s="269">
        <v>37966.48758337873</v>
      </c>
      <c r="U10" s="265"/>
      <c r="V10" s="270">
        <v>1.4843193194349125E-2</v>
      </c>
      <c r="X10" t="s">
        <v>76</v>
      </c>
      <c r="Y10" s="55"/>
      <c r="Z10" s="55"/>
      <c r="AA10" s="15"/>
      <c r="AB10" s="63">
        <f t="shared" ref="AB10:AB12" si="6">IFERROR((Z10-Y10)/Y10,0)</f>
        <v>0</v>
      </c>
      <c r="AC10" s="15"/>
      <c r="AD10" s="55"/>
      <c r="AE10" s="55"/>
      <c r="AG10" s="60">
        <f t="shared" ref="AG10:AG12" si="7">IFERROR(((AE10/Y10)^(1/3))-1,0)</f>
        <v>0</v>
      </c>
      <c r="AI10" t="s">
        <v>76</v>
      </c>
      <c r="AJ10" s="55">
        <f>SUM([5]AN01010300!$AN$41)/1000</f>
        <v>1088.1809119375262</v>
      </c>
      <c r="AK10" s="55">
        <f>[5]AN01010300!$AO$41/1000</f>
        <v>977.61164663978468</v>
      </c>
      <c r="AL10" s="15"/>
      <c r="AM10" s="63">
        <f t="shared" ref="AM10:AM24" si="8">IFERROR((AK10-AJ10)/AJ10,0)</f>
        <v>-0.10160926743409868</v>
      </c>
      <c r="AN10" s="15"/>
      <c r="AO10" s="55">
        <f>[5]AN01010300!$AP$41/1000</f>
        <v>1122.7530202866631</v>
      </c>
      <c r="AP10" s="55">
        <f>[5]AN01010300!$AQ$41/1000</f>
        <v>1390.348438291654</v>
      </c>
      <c r="AR10" s="60">
        <f t="shared" ref="AR10:AR24" si="9">IFERROR(((AP10/AJ10)^(1/3))-1,0)</f>
        <v>8.5111043068812009E-2</v>
      </c>
    </row>
    <row r="11" spans="2:44" ht="15" customHeight="1" x14ac:dyDescent="0.3">
      <c r="B11" t="s">
        <v>77</v>
      </c>
      <c r="C11" s="55">
        <f t="shared" si="0"/>
        <v>699.15575039267321</v>
      </c>
      <c r="D11" s="55">
        <f t="shared" si="1"/>
        <v>348.94067865827685</v>
      </c>
      <c r="E11" s="15"/>
      <c r="F11" s="63">
        <f t="shared" si="2"/>
        <v>-0.50091137995747281</v>
      </c>
      <c r="G11" s="15"/>
      <c r="H11" s="55">
        <f t="shared" si="3"/>
        <v>440.90484846698109</v>
      </c>
      <c r="I11" s="55">
        <f t="shared" si="4"/>
        <v>536.74078417768681</v>
      </c>
      <c r="K11" s="60">
        <f t="shared" si="5"/>
        <v>-8.4348479764454032E-2</v>
      </c>
      <c r="M11" t="s">
        <v>77</v>
      </c>
      <c r="N11" s="269">
        <v>399.59306600000002</v>
      </c>
      <c r="O11" s="269">
        <v>0</v>
      </c>
      <c r="P11" s="267"/>
      <c r="Q11" s="272">
        <v>-1</v>
      </c>
      <c r="R11" s="267"/>
      <c r="S11" s="269">
        <v>0</v>
      </c>
      <c r="T11" s="269">
        <v>0</v>
      </c>
      <c r="U11" s="265"/>
      <c r="V11" s="270">
        <v>-1</v>
      </c>
      <c r="X11" t="s">
        <v>77</v>
      </c>
      <c r="Y11" s="55"/>
      <c r="Z11" s="55"/>
      <c r="AA11" s="15"/>
      <c r="AB11" s="63">
        <f t="shared" si="6"/>
        <v>0</v>
      </c>
      <c r="AC11" s="15"/>
      <c r="AD11" s="55"/>
      <c r="AE11" s="55"/>
      <c r="AG11" s="60">
        <f t="shared" si="7"/>
        <v>0</v>
      </c>
      <c r="AI11" t="s">
        <v>77</v>
      </c>
      <c r="AJ11" s="55">
        <f>SUM([5]AN01010300!$AN$54)/1000</f>
        <v>299.56268439267319</v>
      </c>
      <c r="AK11" s="55">
        <f>[5]AN01010300!$AO$54/1000</f>
        <v>348.94067865827685</v>
      </c>
      <c r="AL11" s="15"/>
      <c r="AM11" s="63">
        <f t="shared" si="8"/>
        <v>0.16483359523136709</v>
      </c>
      <c r="AN11" s="15"/>
      <c r="AO11" s="55">
        <f>[5]AN01010300!$AP$54/1000</f>
        <v>440.90484846698109</v>
      </c>
      <c r="AP11" s="55">
        <f>[5]AN01010300!$AQ$54/1000</f>
        <v>536.74078417768681</v>
      </c>
      <c r="AR11" s="60">
        <f t="shared" si="9"/>
        <v>0.21457860745247825</v>
      </c>
    </row>
    <row r="12" spans="2:44" x14ac:dyDescent="0.3">
      <c r="B12" s="6" t="s">
        <v>83</v>
      </c>
      <c r="C12" s="70">
        <f>C9+C10+C11</f>
        <v>50755.045480709618</v>
      </c>
      <c r="D12" s="70">
        <f>D9+D10+D11</f>
        <v>50660.842979485984</v>
      </c>
      <c r="E12" s="71"/>
      <c r="F12" s="164">
        <f t="shared" ref="F12:F24" si="10">IFERROR((D12-C12)/C12,0)</f>
        <v>-1.8560223979985787E-3</v>
      </c>
      <c r="G12" s="71"/>
      <c r="H12" s="70">
        <f>H9+H10+H11</f>
        <v>52628.106171823878</v>
      </c>
      <c r="I12" s="70">
        <f>I9+I10+I11</f>
        <v>54493.322517385517</v>
      </c>
      <c r="J12" s="7"/>
      <c r="K12" s="165">
        <f t="shared" si="5"/>
        <v>2.3971860994505212E-2</v>
      </c>
      <c r="M12" s="6" t="s">
        <v>83</v>
      </c>
      <c r="N12" s="275">
        <v>36724.423144436012</v>
      </c>
      <c r="O12" s="275">
        <v>36154.662223310268</v>
      </c>
      <c r="P12" s="276"/>
      <c r="Q12" s="273">
        <v>-1.5514496140208714E-2</v>
      </c>
      <c r="R12" s="276"/>
      <c r="S12" s="275">
        <v>37206.047311604096</v>
      </c>
      <c r="T12" s="275">
        <v>37966.48758337873</v>
      </c>
      <c r="U12" s="266"/>
      <c r="V12" s="271">
        <v>1.1148975186760834E-2</v>
      </c>
      <c r="X12" s="6" t="s">
        <v>83</v>
      </c>
      <c r="Y12" s="70">
        <f>Y9+Y10+Y11</f>
        <v>0</v>
      </c>
      <c r="Z12" s="70">
        <f>Z9+Z10+Z11</f>
        <v>0</v>
      </c>
      <c r="AA12" s="71"/>
      <c r="AB12" s="64">
        <f t="shared" si="6"/>
        <v>0</v>
      </c>
      <c r="AC12" s="71"/>
      <c r="AD12" s="70">
        <f>AD9+AD10+AD11</f>
        <v>0</v>
      </c>
      <c r="AE12" s="70">
        <f>AE9+AE10+AE11</f>
        <v>0</v>
      </c>
      <c r="AF12" s="6"/>
      <c r="AG12" s="61">
        <f t="shared" si="7"/>
        <v>0</v>
      </c>
      <c r="AI12" s="6" t="s">
        <v>83</v>
      </c>
      <c r="AJ12" s="70">
        <f>AJ9+AJ10+AJ11</f>
        <v>14030.622336273605</v>
      </c>
      <c r="AK12" s="70">
        <f>AK9+AK10+AK11</f>
        <v>14506.180756175712</v>
      </c>
      <c r="AL12" s="71"/>
      <c r="AM12" s="64">
        <f t="shared" si="8"/>
        <v>3.389432118578501E-2</v>
      </c>
      <c r="AN12" s="71"/>
      <c r="AO12" s="70">
        <f>AO9+AO10+AO11</f>
        <v>15422.058860219779</v>
      </c>
      <c r="AP12" s="70">
        <f>AP9+AP10+AP11</f>
        <v>16526.83493400678</v>
      </c>
      <c r="AQ12" s="6"/>
      <c r="AR12" s="61">
        <f t="shared" si="9"/>
        <v>5.6098076305773237E-2</v>
      </c>
    </row>
    <row r="13" spans="2:44" ht="15" customHeight="1" x14ac:dyDescent="0.3">
      <c r="C13" s="55"/>
      <c r="D13" s="55"/>
      <c r="E13" s="15"/>
      <c r="F13" s="15"/>
      <c r="G13" s="15"/>
      <c r="H13" s="55"/>
      <c r="I13" s="55"/>
      <c r="N13" s="269"/>
      <c r="O13" s="269"/>
      <c r="P13" s="267"/>
      <c r="Q13" s="267"/>
      <c r="R13" s="267"/>
      <c r="S13" s="269"/>
      <c r="T13" s="269"/>
      <c r="U13" s="265"/>
      <c r="V13" s="265"/>
      <c r="Y13" s="55"/>
      <c r="Z13" s="55"/>
      <c r="AA13" s="15"/>
      <c r="AB13" s="15"/>
      <c r="AC13" s="15"/>
      <c r="AD13" s="55"/>
      <c r="AE13" s="55"/>
      <c r="AJ13" s="55"/>
      <c r="AK13" s="55"/>
      <c r="AL13" s="15"/>
      <c r="AM13" s="15"/>
      <c r="AN13" s="15"/>
      <c r="AO13" s="55"/>
      <c r="AP13" s="55"/>
    </row>
    <row r="14" spans="2:44" ht="15" customHeight="1" x14ac:dyDescent="0.3">
      <c r="B14" t="s">
        <v>75</v>
      </c>
      <c r="C14" s="55">
        <f t="shared" ref="C14:C19" si="11">N14+Y14+AJ14</f>
        <v>8521.1939155472119</v>
      </c>
      <c r="D14" s="55">
        <f t="shared" ref="D14:D19" si="12">O14+Z14+AK14</f>
        <v>8536.2183258316927</v>
      </c>
      <c r="E14" s="15"/>
      <c r="F14" s="63">
        <f t="shared" ref="F14:F19" si="13">IFERROR((D14-C14)/C14,0)</f>
        <v>1.7631813608968907E-3</v>
      </c>
      <c r="G14" s="15"/>
      <c r="H14" s="55">
        <f t="shared" ref="H14:H19" si="14">S14+AD14+AO14</f>
        <v>8615.4519940811715</v>
      </c>
      <c r="I14" s="55">
        <f t="shared" ref="I14:I19" si="15">T14+AE14+AP14</f>
        <v>8768.0314532197899</v>
      </c>
      <c r="K14" s="60">
        <f t="shared" si="5"/>
        <v>9.5640646350689806E-3</v>
      </c>
      <c r="M14" t="s">
        <v>75</v>
      </c>
      <c r="N14" s="269">
        <v>0</v>
      </c>
      <c r="O14" s="269">
        <v>0</v>
      </c>
      <c r="P14" s="267"/>
      <c r="Q14" s="272">
        <v>0</v>
      </c>
      <c r="R14" s="267"/>
      <c r="S14" s="269">
        <v>0</v>
      </c>
      <c r="T14" s="269">
        <v>0</v>
      </c>
      <c r="U14" s="265"/>
      <c r="V14" s="270">
        <v>0</v>
      </c>
      <c r="X14" t="s">
        <v>75</v>
      </c>
      <c r="Y14" s="55"/>
      <c r="Z14" s="55"/>
      <c r="AA14" s="15"/>
      <c r="AB14" s="63">
        <f t="shared" ref="AB14:AB20" si="16">IFERROR((Z14-Y14)/Y14,0)</f>
        <v>0</v>
      </c>
      <c r="AC14" s="15"/>
      <c r="AD14" s="55"/>
      <c r="AE14" s="55"/>
      <c r="AG14" s="60">
        <f t="shared" ref="AG14:AG20" si="17">IFERROR(((AE14/Y14)^(1/3))-1,0)</f>
        <v>0</v>
      </c>
      <c r="AI14" t="s">
        <v>75</v>
      </c>
      <c r="AJ14" s="55">
        <f>SUM('[5]AN01010201:AC'!$AN$31)/1000-AJ9</f>
        <v>8521.1939155472119</v>
      </c>
      <c r="AK14" s="55">
        <f>SUM('[5]AN01010201:AC'!$AO$31)/1000-AK9</f>
        <v>8536.2183258316927</v>
      </c>
      <c r="AL14" s="15"/>
      <c r="AM14" s="63">
        <f t="shared" si="8"/>
        <v>1.7631813608968907E-3</v>
      </c>
      <c r="AN14" s="15"/>
      <c r="AO14" s="55">
        <f>SUM('[5]AN01010201:AC'!$AP$31)/1000-AO9</f>
        <v>8615.4519940811715</v>
      </c>
      <c r="AP14" s="55">
        <f>SUM('[5]AN01010201:AC'!$AQ$31)/1000-AP9</f>
        <v>8768.0314532197899</v>
      </c>
      <c r="AR14" s="60">
        <f t="shared" si="9"/>
        <v>9.5640646350689806E-3</v>
      </c>
    </row>
    <row r="15" spans="2:44" ht="15" customHeight="1" x14ac:dyDescent="0.3">
      <c r="B15" t="s">
        <v>81</v>
      </c>
      <c r="C15" s="55">
        <f t="shared" si="11"/>
        <v>9090.2213111323254</v>
      </c>
      <c r="D15" s="55">
        <f t="shared" si="12"/>
        <v>8424.5640601846881</v>
      </c>
      <c r="E15" s="15"/>
      <c r="F15" s="63">
        <f t="shared" si="13"/>
        <v>-7.3227837713086386E-2</v>
      </c>
      <c r="G15" s="15"/>
      <c r="H15" s="55">
        <f t="shared" si="14"/>
        <v>7838.9602010062436</v>
      </c>
      <c r="I15" s="55">
        <f t="shared" si="15"/>
        <v>7168.2485399768238</v>
      </c>
      <c r="K15" s="60">
        <f t="shared" si="5"/>
        <v>-7.6125742888693115E-2</v>
      </c>
      <c r="M15" t="s">
        <v>81</v>
      </c>
      <c r="N15" s="269">
        <v>0</v>
      </c>
      <c r="O15" s="269">
        <v>0</v>
      </c>
      <c r="P15" s="267"/>
      <c r="Q15" s="272">
        <v>0</v>
      </c>
      <c r="R15" s="267"/>
      <c r="S15" s="269">
        <v>0</v>
      </c>
      <c r="T15" s="269">
        <v>0</v>
      </c>
      <c r="U15" s="265"/>
      <c r="V15" s="270">
        <v>0</v>
      </c>
      <c r="X15" t="s">
        <v>81</v>
      </c>
      <c r="Y15" s="55"/>
      <c r="Z15" s="55"/>
      <c r="AA15" s="15"/>
      <c r="AB15" s="63">
        <f t="shared" si="16"/>
        <v>0</v>
      </c>
      <c r="AC15" s="15"/>
      <c r="AD15" s="55"/>
      <c r="AE15" s="55"/>
      <c r="AG15" s="60">
        <f t="shared" si="17"/>
        <v>0</v>
      </c>
      <c r="AI15" t="s">
        <v>81</v>
      </c>
      <c r="AJ15" s="55">
        <f>SUM('[5]AN01010201:AC'!$AN$32)/1000</f>
        <v>9090.2213111323254</v>
      </c>
      <c r="AK15" s="55">
        <f>SUM('[5]AN01010201:AC'!$AO$32)/1000</f>
        <v>8424.5640601846881</v>
      </c>
      <c r="AL15" s="15"/>
      <c r="AM15" s="63">
        <f t="shared" si="8"/>
        <v>-7.3227837713086386E-2</v>
      </c>
      <c r="AN15" s="15"/>
      <c r="AO15" s="55">
        <f>SUM('[5]AN01010201:AC'!$AP$32)/1000</f>
        <v>7838.9602010062436</v>
      </c>
      <c r="AP15" s="55">
        <f>SUM('[5]AN01010201:AC'!$AQ$32)/1000</f>
        <v>7168.2485399768238</v>
      </c>
      <c r="AR15" s="60">
        <f t="shared" si="9"/>
        <v>-7.6125742888693115E-2</v>
      </c>
    </row>
    <row r="16" spans="2:44" ht="15" customHeight="1" x14ac:dyDescent="0.3">
      <c r="B16" t="s">
        <v>76</v>
      </c>
      <c r="C16" s="55">
        <f t="shared" si="11"/>
        <v>93.945133339724862</v>
      </c>
      <c r="D16" s="55">
        <f t="shared" si="12"/>
        <v>73.544854829692554</v>
      </c>
      <c r="E16" s="15"/>
      <c r="F16" s="63">
        <f t="shared" si="13"/>
        <v>-0.2171509878671492</v>
      </c>
      <c r="G16" s="15"/>
      <c r="H16" s="55">
        <f t="shared" si="14"/>
        <v>57.542178676361118</v>
      </c>
      <c r="I16" s="55">
        <f t="shared" si="15"/>
        <v>44.98754682380445</v>
      </c>
      <c r="K16" s="60">
        <f t="shared" si="5"/>
        <v>-0.2176411346354088</v>
      </c>
      <c r="M16" t="s">
        <v>76</v>
      </c>
      <c r="N16" s="269">
        <v>0</v>
      </c>
      <c r="O16" s="269">
        <v>0</v>
      </c>
      <c r="P16" s="267"/>
      <c r="Q16" s="272">
        <v>0</v>
      </c>
      <c r="R16" s="267"/>
      <c r="S16" s="269">
        <v>0</v>
      </c>
      <c r="T16" s="269">
        <v>0</v>
      </c>
      <c r="U16" s="265"/>
      <c r="V16" s="270">
        <v>0</v>
      </c>
      <c r="X16" t="s">
        <v>76</v>
      </c>
      <c r="Y16" s="55"/>
      <c r="Z16" s="55"/>
      <c r="AA16" s="15"/>
      <c r="AB16" s="63">
        <f t="shared" si="16"/>
        <v>0</v>
      </c>
      <c r="AC16" s="15"/>
      <c r="AD16" s="55"/>
      <c r="AE16" s="55"/>
      <c r="AG16" s="60">
        <f t="shared" si="17"/>
        <v>0</v>
      </c>
      <c r="AI16" t="s">
        <v>76</v>
      </c>
      <c r="AJ16" s="55">
        <f>(SUM('[5]AN01010201:AC'!$AN$41)/1000)-AJ10</f>
        <v>93.945133339724862</v>
      </c>
      <c r="AK16" s="55">
        <f>(SUM('[5]AN01010201:AC'!$AO$41)/1000)-AK10</f>
        <v>73.544854829692554</v>
      </c>
      <c r="AL16" s="15"/>
      <c r="AM16" s="63">
        <f t="shared" si="8"/>
        <v>-0.2171509878671492</v>
      </c>
      <c r="AN16" s="15"/>
      <c r="AO16" s="55">
        <f>(SUM('[5]AN01010201:AC'!$AP$41)/1000)-AO10</f>
        <v>57.542178676361118</v>
      </c>
      <c r="AP16" s="55">
        <f>(SUM('[5]AN01010201:AC'!$AQ$41)/1000)-AP10</f>
        <v>44.98754682380445</v>
      </c>
      <c r="AR16" s="60">
        <f t="shared" si="9"/>
        <v>-0.2176411346354088</v>
      </c>
    </row>
    <row r="17" spans="2:44" ht="15" customHeight="1" x14ac:dyDescent="0.3">
      <c r="B17" t="s">
        <v>82</v>
      </c>
      <c r="C17" s="55">
        <f t="shared" si="11"/>
        <v>23616.735406058997</v>
      </c>
      <c r="D17" s="55">
        <f t="shared" si="12"/>
        <v>27017.484437144045</v>
      </c>
      <c r="E17" s="15"/>
      <c r="F17" s="63">
        <f t="shared" si="13"/>
        <v>0.14399742270104648</v>
      </c>
      <c r="G17" s="15"/>
      <c r="H17" s="55">
        <f t="shared" si="14"/>
        <v>30660.598825128622</v>
      </c>
      <c r="I17" s="55">
        <f t="shared" si="15"/>
        <v>34859.120006140685</v>
      </c>
      <c r="K17" s="60">
        <f t="shared" si="5"/>
        <v>0.13858515860416998</v>
      </c>
      <c r="M17" t="s">
        <v>82</v>
      </c>
      <c r="N17" s="269">
        <v>0</v>
      </c>
      <c r="O17" s="269">
        <v>0</v>
      </c>
      <c r="P17" s="267"/>
      <c r="Q17" s="272">
        <v>0</v>
      </c>
      <c r="R17" s="267"/>
      <c r="S17" s="269">
        <v>0</v>
      </c>
      <c r="T17" s="269">
        <v>0</v>
      </c>
      <c r="U17" s="265"/>
      <c r="V17" s="270">
        <v>0</v>
      </c>
      <c r="X17" t="s">
        <v>82</v>
      </c>
      <c r="Y17" s="55"/>
      <c r="Z17" s="55"/>
      <c r="AA17" s="15"/>
      <c r="AB17" s="63">
        <f t="shared" si="16"/>
        <v>0</v>
      </c>
      <c r="AC17" s="15"/>
      <c r="AD17" s="55"/>
      <c r="AE17" s="55"/>
      <c r="AG17" s="60">
        <f t="shared" si="17"/>
        <v>0</v>
      </c>
      <c r="AI17" t="s">
        <v>82</v>
      </c>
      <c r="AJ17" s="55">
        <f>(SUM('[5]AN01010201:AC'!$AN$46)/1000)</f>
        <v>23616.735406058997</v>
      </c>
      <c r="AK17" s="55">
        <f>(SUM('[5]AN01010201:AC'!$AO$46)/1000)</f>
        <v>27017.484437144045</v>
      </c>
      <c r="AL17" s="15"/>
      <c r="AM17" s="63">
        <f t="shared" si="8"/>
        <v>0.14399742270104648</v>
      </c>
      <c r="AN17" s="15"/>
      <c r="AO17" s="55">
        <f>(SUM('[5]AN01010201:AC'!$AP$46)/1000)</f>
        <v>30660.598825128622</v>
      </c>
      <c r="AP17" s="55">
        <f>(SUM('[5]AN01010201:AC'!$AQ$46)/1000)</f>
        <v>34859.120006140685</v>
      </c>
      <c r="AR17" s="60">
        <f t="shared" si="9"/>
        <v>0.13858515860416998</v>
      </c>
    </row>
    <row r="18" spans="2:44" ht="15" customHeight="1" x14ac:dyDescent="0.3">
      <c r="B18" t="s">
        <v>117</v>
      </c>
      <c r="C18" s="66">
        <f t="shared" si="11"/>
        <v>300</v>
      </c>
      <c r="D18" s="66">
        <f t="shared" si="12"/>
        <v>1300</v>
      </c>
      <c r="E18" s="15"/>
      <c r="F18" s="63">
        <f t="shared" si="13"/>
        <v>3.3333333333333335</v>
      </c>
      <c r="G18" s="15"/>
      <c r="H18" s="66">
        <f t="shared" si="14"/>
        <v>3300</v>
      </c>
      <c r="I18" s="66">
        <f t="shared" si="15"/>
        <v>3300</v>
      </c>
      <c r="K18" s="60">
        <f t="shared" si="5"/>
        <v>1.2239800905693157</v>
      </c>
      <c r="M18" t="s">
        <v>117</v>
      </c>
      <c r="N18" s="274">
        <v>0</v>
      </c>
      <c r="O18" s="274">
        <v>0</v>
      </c>
      <c r="P18" s="267"/>
      <c r="Q18" s="272">
        <v>0</v>
      </c>
      <c r="R18" s="267"/>
      <c r="S18" s="274">
        <v>0</v>
      </c>
      <c r="T18" s="274">
        <v>0</v>
      </c>
      <c r="U18" s="265"/>
      <c r="V18" s="270">
        <v>0</v>
      </c>
      <c r="X18" t="s">
        <v>117</v>
      </c>
      <c r="Y18" s="66">
        <f>(SUM('[5]AN01010201:AC'!$AN$47)/1000)</f>
        <v>300</v>
      </c>
      <c r="Z18" s="66">
        <f>(SUM('[5]AN01010201:AC'!$AO$47)/1000)</f>
        <v>1300</v>
      </c>
      <c r="AA18" s="15"/>
      <c r="AB18" s="63">
        <f t="shared" si="16"/>
        <v>3.3333333333333335</v>
      </c>
      <c r="AC18" s="15"/>
      <c r="AD18" s="55">
        <f>(SUM('[5]AN01010201:AC'!$AP$47)/1000)</f>
        <v>3300</v>
      </c>
      <c r="AE18" s="55">
        <f>(SUM('[5]AN01010201:AC'!$AQ$47)/1000)</f>
        <v>3300</v>
      </c>
      <c r="AG18" s="60">
        <f t="shared" si="17"/>
        <v>1.2239800905693157</v>
      </c>
      <c r="AI18" t="s">
        <v>117</v>
      </c>
      <c r="AJ18" s="66">
        <f>(SUM('[5]AN01010201:AC'!$AN$47)/1000)-Y18</f>
        <v>0</v>
      </c>
      <c r="AK18" s="66">
        <f>(SUM('[5]AN01010201:AC'!$AO$47)/1000)-Z18</f>
        <v>0</v>
      </c>
      <c r="AL18" s="15"/>
      <c r="AM18" s="63">
        <f t="shared" si="8"/>
        <v>0</v>
      </c>
      <c r="AN18" s="15"/>
      <c r="AO18" s="55">
        <f>(SUM('[5]AN01010201:AC'!$AP$47)/1000)-AD18</f>
        <v>0</v>
      </c>
      <c r="AP18" s="55">
        <f>(SUM('[5]AN01010201:AC'!$AQ$47)/1000)-AE18</f>
        <v>0</v>
      </c>
      <c r="AR18" s="60">
        <f t="shared" si="9"/>
        <v>0</v>
      </c>
    </row>
    <row r="19" spans="2:44" ht="15" customHeight="1" x14ac:dyDescent="0.3">
      <c r="B19" t="s">
        <v>118</v>
      </c>
      <c r="C19" s="55">
        <f t="shared" si="11"/>
        <v>44.315398451502006</v>
      </c>
      <c r="D19" s="55">
        <f t="shared" si="12"/>
        <v>28.075594838467623</v>
      </c>
      <c r="E19" s="15"/>
      <c r="F19" s="63">
        <f t="shared" si="13"/>
        <v>-0.36645960953745993</v>
      </c>
      <c r="G19" s="15"/>
      <c r="H19" s="55">
        <f t="shared" si="14"/>
        <v>23.628011698433056</v>
      </c>
      <c r="I19" s="55">
        <f t="shared" si="15"/>
        <v>19.173288738236351</v>
      </c>
      <c r="K19" s="60">
        <f t="shared" si="5"/>
        <v>-0.24366537183160064</v>
      </c>
      <c r="M19" t="s">
        <v>118</v>
      </c>
      <c r="N19" s="269">
        <v>0</v>
      </c>
      <c r="O19" s="269">
        <v>0</v>
      </c>
      <c r="P19" s="267"/>
      <c r="Q19" s="272">
        <v>0</v>
      </c>
      <c r="R19" s="267"/>
      <c r="S19" s="269">
        <v>0</v>
      </c>
      <c r="T19" s="269">
        <v>0</v>
      </c>
      <c r="U19" s="265"/>
      <c r="V19" s="270">
        <v>0</v>
      </c>
      <c r="X19" t="s">
        <v>118</v>
      </c>
      <c r="Y19" s="55"/>
      <c r="Z19" s="55"/>
      <c r="AA19" s="15"/>
      <c r="AB19" s="63">
        <f t="shared" si="16"/>
        <v>0</v>
      </c>
      <c r="AC19" s="15"/>
      <c r="AD19" s="55"/>
      <c r="AE19" s="55"/>
      <c r="AG19" s="60">
        <f t="shared" si="17"/>
        <v>0</v>
      </c>
      <c r="AI19" t="s">
        <v>118</v>
      </c>
      <c r="AJ19" s="55">
        <f>(SUM('[5]AN01010201:AC'!$AN$58)/1000)</f>
        <v>44.315398451502006</v>
      </c>
      <c r="AK19" s="55">
        <f>(SUM('[5]AN01010201:AC'!$AO$58)/1000)</f>
        <v>28.075594838467623</v>
      </c>
      <c r="AL19" s="15"/>
      <c r="AM19" s="63">
        <f t="shared" si="8"/>
        <v>-0.36645960953745993</v>
      </c>
      <c r="AN19" s="15"/>
      <c r="AO19" s="55">
        <f>(SUM('[5]AN01010201:AC'!$AP$58)/1000)</f>
        <v>23.628011698433056</v>
      </c>
      <c r="AP19" s="55">
        <f>(SUM('[5]AN01010201:AC'!$AQ$58)/1000)</f>
        <v>19.173288738236351</v>
      </c>
      <c r="AR19" s="60">
        <f t="shared" si="9"/>
        <v>-0.24366537183160064</v>
      </c>
    </row>
    <row r="20" spans="2:44" x14ac:dyDescent="0.3">
      <c r="B20" s="6" t="s">
        <v>41</v>
      </c>
      <c r="C20" s="70">
        <f>SUM(C14:C19)</f>
        <v>41666.41116452976</v>
      </c>
      <c r="D20" s="70">
        <f>SUM(D14:D19)</f>
        <v>45379.887272828586</v>
      </c>
      <c r="E20" s="18"/>
      <c r="F20" s="164">
        <f t="shared" si="10"/>
        <v>8.912397311194574E-2</v>
      </c>
      <c r="G20" s="18"/>
      <c r="H20" s="70">
        <f>SUM(H14:H19)</f>
        <v>50496.181210590832</v>
      </c>
      <c r="I20" s="70">
        <f>SUM(I14:I19)</f>
        <v>54159.560834899341</v>
      </c>
      <c r="J20" s="7"/>
      <c r="K20" s="165">
        <f t="shared" si="5"/>
        <v>9.1347387069968811E-2</v>
      </c>
      <c r="M20" s="6" t="s">
        <v>41</v>
      </c>
      <c r="N20" s="275">
        <v>0</v>
      </c>
      <c r="O20" s="275">
        <v>0</v>
      </c>
      <c r="P20" s="268"/>
      <c r="Q20" s="273">
        <v>0</v>
      </c>
      <c r="R20" s="268"/>
      <c r="S20" s="275">
        <v>0</v>
      </c>
      <c r="T20" s="275">
        <v>0</v>
      </c>
      <c r="U20" s="266"/>
      <c r="V20" s="271">
        <v>0</v>
      </c>
      <c r="X20" s="6" t="s">
        <v>41</v>
      </c>
      <c r="Y20" s="70">
        <f>SUM(Y14:Y19)</f>
        <v>300</v>
      </c>
      <c r="Z20" s="70">
        <f>SUM(Z14:Z19)</f>
        <v>1300</v>
      </c>
      <c r="AA20" s="18"/>
      <c r="AB20" s="64">
        <f t="shared" si="16"/>
        <v>3.3333333333333335</v>
      </c>
      <c r="AC20" s="18"/>
      <c r="AD20" s="70">
        <f>SUM(AD14:AD19)</f>
        <v>3300</v>
      </c>
      <c r="AE20" s="70">
        <f>SUM(AE14:AE19)</f>
        <v>3300</v>
      </c>
      <c r="AF20" s="7"/>
      <c r="AG20" s="61">
        <f t="shared" si="17"/>
        <v>1.2239800905693157</v>
      </c>
      <c r="AI20" s="6" t="s">
        <v>41</v>
      </c>
      <c r="AJ20" s="70">
        <f>SUM(AJ14:AJ19)</f>
        <v>41366.41116452976</v>
      </c>
      <c r="AK20" s="70">
        <f>SUM(AK14:AK19)</f>
        <v>44079.887272828586</v>
      </c>
      <c r="AL20" s="18"/>
      <c r="AM20" s="64">
        <f t="shared" si="8"/>
        <v>6.5596120908490513E-2</v>
      </c>
      <c r="AN20" s="18"/>
      <c r="AO20" s="70">
        <f>SUM(AO14:AO19)</f>
        <v>47196.181210590832</v>
      </c>
      <c r="AP20" s="70">
        <f>SUM(AP14:AP19)</f>
        <v>50859.560834899341</v>
      </c>
      <c r="AQ20" s="7"/>
      <c r="AR20" s="61">
        <f t="shared" si="9"/>
        <v>7.1292967050251566E-2</v>
      </c>
    </row>
    <row r="21" spans="2:44" ht="15" thickBot="1" x14ac:dyDescent="0.35">
      <c r="C21" s="15"/>
      <c r="D21" s="15"/>
      <c r="E21" s="15"/>
      <c r="F21" s="15"/>
      <c r="G21" s="15"/>
      <c r="H21" s="15"/>
      <c r="I21" s="15"/>
      <c r="N21" s="15"/>
      <c r="O21" s="15"/>
      <c r="P21" s="15"/>
      <c r="Q21" s="15"/>
      <c r="R21" s="15"/>
      <c r="S21" s="15"/>
      <c r="T21" s="15"/>
      <c r="Y21" s="15"/>
      <c r="Z21" s="15"/>
      <c r="AA21" s="15"/>
      <c r="AB21" s="15"/>
      <c r="AC21" s="15"/>
      <c r="AD21" s="15"/>
      <c r="AE21" s="15"/>
      <c r="AJ21" s="15"/>
      <c r="AK21" s="15"/>
      <c r="AL21" s="15"/>
      <c r="AM21" s="15"/>
      <c r="AN21" s="15"/>
      <c r="AO21" s="15"/>
      <c r="AP21" s="15"/>
    </row>
    <row r="22" spans="2:44" ht="24.75" customHeight="1" thickTop="1" thickBot="1" x14ac:dyDescent="0.35">
      <c r="B22" s="8" t="s">
        <v>42</v>
      </c>
      <c r="C22" s="57">
        <f>C12+C20</f>
        <v>92421.456645239377</v>
      </c>
      <c r="D22" s="57">
        <f>D12+D20</f>
        <v>96040.730252314563</v>
      </c>
      <c r="E22" s="17"/>
      <c r="F22" s="59">
        <f t="shared" si="10"/>
        <v>3.9160534127565212E-2</v>
      </c>
      <c r="G22" s="17"/>
      <c r="H22" s="57">
        <f>H12+H20</f>
        <v>103124.28738241471</v>
      </c>
      <c r="I22" s="57">
        <f>I12+I20</f>
        <v>108652.88335228486</v>
      </c>
      <c r="J22" s="17"/>
      <c r="K22" s="59">
        <f t="shared" si="5"/>
        <v>5.5413914451451607E-2</v>
      </c>
      <c r="M22" s="8" t="s">
        <v>42</v>
      </c>
      <c r="N22" s="57">
        <f>N12+N20</f>
        <v>36724.423144436012</v>
      </c>
      <c r="O22" s="57">
        <f>O12+O20</f>
        <v>36154.662223310268</v>
      </c>
      <c r="P22" s="17"/>
      <c r="Q22" s="59">
        <f t="shared" ref="Q10:Q24" si="18">IFERROR((O22-N22)/N22,0)</f>
        <v>-1.5514496140208714E-2</v>
      </c>
      <c r="R22" s="17"/>
      <c r="S22" s="57">
        <f>S12+S20</f>
        <v>37206.047311604096</v>
      </c>
      <c r="T22" s="57">
        <f>T12+T20</f>
        <v>37966.48758337873</v>
      </c>
      <c r="U22" s="17"/>
      <c r="V22" s="59">
        <f t="shared" ref="V10:V24" si="19">IFERROR(((T22/N22)^(1/3))-1,0)</f>
        <v>1.1148975186760834E-2</v>
      </c>
      <c r="X22" s="8" t="s">
        <v>84</v>
      </c>
      <c r="Y22" s="57">
        <f>Y12+Y20</f>
        <v>300</v>
      </c>
      <c r="Z22" s="57">
        <f>Z12+Z20</f>
        <v>1300</v>
      </c>
      <c r="AA22" s="17"/>
      <c r="AB22" s="59">
        <f t="shared" ref="AB22:AB24" si="20">IFERROR((Z22-Y22)/Y22,0)</f>
        <v>3.3333333333333335</v>
      </c>
      <c r="AC22" s="17"/>
      <c r="AD22" s="57">
        <f>AD12+AD20</f>
        <v>3300</v>
      </c>
      <c r="AE22" s="57">
        <f>AE12+AE20</f>
        <v>3300</v>
      </c>
      <c r="AF22" s="17"/>
      <c r="AG22" s="59">
        <f t="shared" ref="AG22:AG24" si="21">IFERROR(((AE22/Y22)^(1/3))-1,0)</f>
        <v>1.2239800905693157</v>
      </c>
      <c r="AI22" s="148" t="s">
        <v>119</v>
      </c>
      <c r="AJ22" s="57">
        <f>AJ12+AJ20</f>
        <v>55397.033500803365</v>
      </c>
      <c r="AK22" s="57">
        <f>AK12+AK20</f>
        <v>58586.068029004295</v>
      </c>
      <c r="AL22" s="17"/>
      <c r="AM22" s="59">
        <f t="shared" si="8"/>
        <v>5.756688267711451E-2</v>
      </c>
      <c r="AN22" s="17"/>
      <c r="AO22" s="57">
        <f>AO12+AO20</f>
        <v>62618.240070810614</v>
      </c>
      <c r="AP22" s="57">
        <f>AP12+AP20</f>
        <v>67386.395768906121</v>
      </c>
      <c r="AQ22" s="17"/>
      <c r="AR22" s="59">
        <f t="shared" si="9"/>
        <v>6.7485307952466433E-2</v>
      </c>
    </row>
    <row r="23" spans="2:44" ht="24.75" customHeight="1" thickTop="1" thickBot="1" x14ac:dyDescent="0.35">
      <c r="B23" s="21" t="s">
        <v>43</v>
      </c>
      <c r="C23" s="76">
        <f>N23+Y23+AJ23</f>
        <v>-3925.475890469118</v>
      </c>
      <c r="D23" s="76">
        <f>O23+Z23+AK23</f>
        <v>-4297.66211876751</v>
      </c>
      <c r="F23" s="60">
        <f>IFERROR((D23-C23)/C23,0)</f>
        <v>9.4813021066323139E-2</v>
      </c>
      <c r="G23" s="20"/>
      <c r="H23" s="76">
        <f>S23+AD23+AO23</f>
        <v>-4491.9884484947315</v>
      </c>
      <c r="I23" s="76">
        <f>T23+AE23+AP23</f>
        <v>-4552.7879222355305</v>
      </c>
      <c r="J23" s="20"/>
      <c r="K23" s="60">
        <f t="shared" si="5"/>
        <v>5.0658799176432012E-2</v>
      </c>
      <c r="M23" s="21" t="s">
        <v>43</v>
      </c>
      <c r="N23" s="280">
        <v>-3271.9669032872289</v>
      </c>
      <c r="O23" s="280">
        <v>-3609.296022230059</v>
      </c>
      <c r="P23" s="277"/>
      <c r="Q23" s="279">
        <v>0.10309673933557442</v>
      </c>
      <c r="R23" s="278"/>
      <c r="S23" s="280">
        <v>-3761.1971734305839</v>
      </c>
      <c r="T23" s="280">
        <v>-3771.7917194370752</v>
      </c>
      <c r="U23" s="278"/>
      <c r="V23" s="279">
        <v>4.8526956606819383E-2</v>
      </c>
      <c r="X23" s="21" t="s">
        <v>43</v>
      </c>
      <c r="Y23" s="76">
        <v>0</v>
      </c>
      <c r="Z23" s="76">
        <v>0</v>
      </c>
      <c r="AB23" s="60">
        <f t="shared" si="20"/>
        <v>0</v>
      </c>
      <c r="AC23" s="20"/>
      <c r="AD23" s="76">
        <v>0</v>
      </c>
      <c r="AE23" s="76">
        <v>0</v>
      </c>
      <c r="AF23" s="20"/>
      <c r="AG23" s="60">
        <f t="shared" si="21"/>
        <v>0</v>
      </c>
      <c r="AI23" s="21" t="s">
        <v>43</v>
      </c>
      <c r="AJ23" s="76">
        <f>SUM('[5]AN01010300:AC'!$AN$90)/1000</f>
        <v>-653.5089871818891</v>
      </c>
      <c r="AK23" s="76">
        <f>SUM('[5]AN01010300:AC'!$AO$90)/1000</f>
        <v>-688.36609653745154</v>
      </c>
      <c r="AM23" s="60">
        <f t="shared" si="8"/>
        <v>5.3338377955406406E-2</v>
      </c>
      <c r="AN23" s="20"/>
      <c r="AO23" s="76">
        <f>SUM('[5]AN01010300:AC'!$AP$90)/1000</f>
        <v>-730.79127506414727</v>
      </c>
      <c r="AP23" s="76">
        <f>SUM('[5]AN01010300:AC'!$AQ$90)/1000</f>
        <v>-780.99620279845544</v>
      </c>
      <c r="AQ23" s="20"/>
      <c r="AR23" s="60">
        <f t="shared" si="9"/>
        <v>6.1204588871342391E-2</v>
      </c>
    </row>
    <row r="24" spans="2:44" ht="24.75" customHeight="1" thickTop="1" thickBot="1" x14ac:dyDescent="0.35">
      <c r="B24" s="22" t="s">
        <v>50</v>
      </c>
      <c r="C24" s="57">
        <f>C22+C23</f>
        <v>88495.980754770266</v>
      </c>
      <c r="D24" s="57">
        <f>D22+D23</f>
        <v>91743.068133547058</v>
      </c>
      <c r="E24" s="17"/>
      <c r="F24" s="59">
        <f t="shared" si="10"/>
        <v>3.6691919238397298E-2</v>
      </c>
      <c r="G24" s="17"/>
      <c r="H24" s="57">
        <f>H22+H23</f>
        <v>98632.298933919985</v>
      </c>
      <c r="I24" s="57">
        <f>I22+I23</f>
        <v>104100.09543004933</v>
      </c>
      <c r="J24" s="17"/>
      <c r="K24" s="59">
        <f t="shared" si="5"/>
        <v>5.5623849655678237E-2</v>
      </c>
      <c r="M24" s="22" t="s">
        <v>50</v>
      </c>
      <c r="N24" s="57">
        <f>N22+N23</f>
        <v>33452.456241148786</v>
      </c>
      <c r="O24" s="57">
        <f>O22+O23</f>
        <v>32545.366201080207</v>
      </c>
      <c r="P24" s="17"/>
      <c r="Q24" s="59">
        <f t="shared" si="18"/>
        <v>-2.7115797821530261E-2</v>
      </c>
      <c r="R24" s="17"/>
      <c r="S24" s="57">
        <f>S22+S23</f>
        <v>33444.850138173511</v>
      </c>
      <c r="T24" s="57">
        <f>T22+T23</f>
        <v>34194.695863941655</v>
      </c>
      <c r="U24" s="17"/>
      <c r="V24" s="59">
        <f t="shared" si="19"/>
        <v>7.3419295123517969E-3</v>
      </c>
      <c r="X24" s="22" t="s">
        <v>50</v>
      </c>
      <c r="Y24" s="57">
        <f>Y22+Y23</f>
        <v>300</v>
      </c>
      <c r="Z24" s="57">
        <f>Z22+Z23</f>
        <v>1300</v>
      </c>
      <c r="AA24" s="17"/>
      <c r="AB24" s="59">
        <f t="shared" si="20"/>
        <v>3.3333333333333335</v>
      </c>
      <c r="AC24" s="17"/>
      <c r="AD24" s="57">
        <f>AD22+AD23</f>
        <v>3300</v>
      </c>
      <c r="AE24" s="57">
        <f>AE22+AE23</f>
        <v>3300</v>
      </c>
      <c r="AF24" s="17"/>
      <c r="AG24" s="59">
        <f t="shared" si="21"/>
        <v>1.2239800905693157</v>
      </c>
      <c r="AI24" s="22" t="s">
        <v>50</v>
      </c>
      <c r="AJ24" s="57">
        <f>AJ22+AJ23</f>
        <v>54743.52451362148</v>
      </c>
      <c r="AK24" s="57">
        <f>AK22+AK23</f>
        <v>57897.701932466844</v>
      </c>
      <c r="AL24" s="17"/>
      <c r="AM24" s="59">
        <f t="shared" si="8"/>
        <v>5.7617361082780302E-2</v>
      </c>
      <c r="AN24" s="17"/>
      <c r="AO24" s="57">
        <f>AO22+AO23</f>
        <v>61887.448795746466</v>
      </c>
      <c r="AP24" s="57">
        <f>AP22+AP23</f>
        <v>66605.399566107662</v>
      </c>
      <c r="AQ24" s="17"/>
      <c r="AR24" s="59">
        <f t="shared" si="9"/>
        <v>6.7559839495159091E-2</v>
      </c>
    </row>
    <row r="25" spans="2:44" s="75" customFormat="1" ht="15" customHeight="1" thickTop="1" x14ac:dyDescent="0.3">
      <c r="B25" s="77"/>
      <c r="C25" s="78"/>
      <c r="D25" s="78"/>
      <c r="E25" s="79"/>
      <c r="F25" s="80"/>
      <c r="G25" s="79"/>
      <c r="H25" s="78"/>
      <c r="I25" s="78"/>
      <c r="J25" s="79"/>
      <c r="K25" s="80"/>
      <c r="M25" s="77"/>
      <c r="N25" s="78"/>
      <c r="O25" s="78"/>
      <c r="P25" s="79"/>
      <c r="Q25" s="80"/>
      <c r="R25" s="79"/>
      <c r="S25" s="78"/>
      <c r="T25" s="78"/>
      <c r="U25" s="79"/>
      <c r="V25" s="80"/>
      <c r="X25" s="77"/>
      <c r="Y25" s="81"/>
      <c r="Z25" s="81"/>
      <c r="AA25" s="79"/>
      <c r="AB25" s="82"/>
      <c r="AC25" s="79"/>
      <c r="AD25" s="81"/>
      <c r="AE25" s="81"/>
      <c r="AF25" s="79"/>
      <c r="AG25" s="82"/>
      <c r="AI25" s="77"/>
      <c r="AJ25" s="81"/>
      <c r="AK25" s="81"/>
      <c r="AL25" s="79"/>
      <c r="AM25" s="82"/>
      <c r="AN25" s="79"/>
      <c r="AO25" s="81"/>
      <c r="AP25" s="81"/>
      <c r="AQ25" s="79"/>
      <c r="AR25" s="82"/>
    </row>
    <row r="26" spans="2:44" s="75" customFormat="1" ht="15" customHeight="1" x14ac:dyDescent="0.3">
      <c r="B26" s="77"/>
      <c r="C26" s="78"/>
      <c r="D26" s="78"/>
      <c r="E26" s="79"/>
      <c r="F26" s="80"/>
      <c r="G26" s="79"/>
      <c r="H26" s="78"/>
      <c r="I26" s="78"/>
      <c r="J26" s="79"/>
      <c r="K26" s="80"/>
      <c r="M26" s="77"/>
      <c r="N26" s="78"/>
      <c r="O26" s="78"/>
      <c r="P26" s="79"/>
      <c r="Q26" s="80"/>
      <c r="R26" s="79"/>
      <c r="S26" s="78"/>
      <c r="T26" s="78"/>
      <c r="U26" s="79"/>
      <c r="V26" s="80"/>
      <c r="X26" s="83"/>
      <c r="Y26" s="81"/>
      <c r="Z26" s="81"/>
      <c r="AA26" s="79"/>
      <c r="AB26" s="82"/>
      <c r="AC26" s="79"/>
      <c r="AD26" s="81"/>
      <c r="AE26" s="81"/>
      <c r="AF26" s="79"/>
      <c r="AG26" s="82"/>
      <c r="AI26" s="83" t="s">
        <v>104</v>
      </c>
      <c r="AJ26" s="81"/>
      <c r="AK26" s="81"/>
      <c r="AL26" s="79"/>
      <c r="AM26" s="82"/>
      <c r="AN26" s="79"/>
      <c r="AO26" s="81"/>
      <c r="AP26" s="81"/>
      <c r="AQ26" s="79"/>
      <c r="AR26" s="82"/>
    </row>
    <row r="27" spans="2:44" s="75" customFormat="1" ht="15" customHeight="1" x14ac:dyDescent="0.3">
      <c r="B27" s="77"/>
      <c r="C27" s="78"/>
      <c r="D27" s="78"/>
      <c r="E27" s="79"/>
      <c r="F27" s="80"/>
      <c r="G27" s="79"/>
      <c r="H27" s="78"/>
      <c r="I27" s="78"/>
      <c r="J27" s="79"/>
      <c r="K27" s="80"/>
      <c r="M27" s="77"/>
      <c r="N27" s="78"/>
      <c r="O27" s="78"/>
      <c r="P27" s="79"/>
      <c r="Q27" s="80"/>
      <c r="R27" s="79"/>
      <c r="S27" s="78"/>
      <c r="T27" s="78"/>
      <c r="U27" s="79"/>
      <c r="V27" s="80"/>
      <c r="X27" s="83"/>
      <c r="Y27" s="81"/>
      <c r="Z27" s="81"/>
      <c r="AA27" s="79"/>
      <c r="AB27" s="82"/>
      <c r="AC27" s="79"/>
      <c r="AD27" s="81"/>
      <c r="AE27" s="81"/>
      <c r="AF27" s="79"/>
      <c r="AG27" s="82"/>
      <c r="AI27" s="83" t="s">
        <v>116</v>
      </c>
      <c r="AJ27" s="81"/>
      <c r="AK27" s="81"/>
      <c r="AL27" s="79"/>
      <c r="AM27" s="82"/>
      <c r="AN27" s="79"/>
      <c r="AO27" s="81"/>
      <c r="AP27" s="81"/>
      <c r="AQ27" s="79"/>
      <c r="AR27" s="82"/>
    </row>
    <row r="29" spans="2:44" x14ac:dyDescent="0.3">
      <c r="X29" s="144"/>
      <c r="Y29" s="75"/>
      <c r="Z29" s="75"/>
      <c r="AA29" s="75"/>
      <c r="AB29" s="75"/>
      <c r="AC29" s="75"/>
      <c r="AD29" s="75"/>
      <c r="AE29" s="75"/>
      <c r="AF29" s="75"/>
      <c r="AG29" s="75"/>
      <c r="AI29" s="73" t="s">
        <v>80</v>
      </c>
      <c r="AJ29" s="68"/>
      <c r="AK29" s="68"/>
      <c r="AL29" s="68"/>
      <c r="AM29" s="68"/>
      <c r="AN29" s="68"/>
      <c r="AO29" s="68"/>
      <c r="AP29" s="68"/>
      <c r="AQ29" s="75"/>
      <c r="AR29" s="75"/>
    </row>
    <row r="30" spans="2:44" x14ac:dyDescent="0.3">
      <c r="X30" s="144"/>
      <c r="Y30" s="145"/>
      <c r="Z30" s="145"/>
      <c r="AA30" s="75"/>
      <c r="AB30" s="75"/>
      <c r="AC30" s="75"/>
      <c r="AD30" s="145"/>
      <c r="AE30" s="145"/>
      <c r="AF30" s="75"/>
      <c r="AG30" s="75"/>
      <c r="AI30" s="73" t="s">
        <v>78</v>
      </c>
      <c r="AJ30" s="74">
        <f>SUM([5]AN01010300!$AN$17:$AN$58)/1000</f>
        <v>14030.622336273605</v>
      </c>
      <c r="AK30" s="74">
        <f>SUM([5]AN01010300!$AO$17:$AO$58)/1000</f>
        <v>14506.180756175712</v>
      </c>
      <c r="AL30" s="68"/>
      <c r="AM30" s="68"/>
      <c r="AN30" s="68"/>
      <c r="AO30" s="74">
        <f>SUM([5]AN01010300!$AP$17:$AP$58)/1000</f>
        <v>15422.058860219779</v>
      </c>
      <c r="AP30" s="74">
        <f>SUM([5]AN01010300!$AQ$17:$AQ$58)/1000</f>
        <v>16526.83493400678</v>
      </c>
      <c r="AQ30" s="75"/>
      <c r="AR30" s="75"/>
    </row>
    <row r="31" spans="2:44" x14ac:dyDescent="0.3">
      <c r="X31" s="144"/>
      <c r="Y31" s="145"/>
      <c r="Z31" s="145"/>
      <c r="AA31" s="75"/>
      <c r="AB31" s="75"/>
      <c r="AC31" s="75"/>
      <c r="AD31" s="145"/>
      <c r="AE31" s="145"/>
      <c r="AF31" s="75"/>
      <c r="AG31" s="75"/>
      <c r="AI31" s="73" t="s">
        <v>79</v>
      </c>
      <c r="AJ31" s="74">
        <f>SUM('[5]AN01010201:AC'!$AN$16:$AN$58)/1000-AJ12-Y20</f>
        <v>41366.411164529774</v>
      </c>
      <c r="AK31" s="74">
        <f>SUM('[5]AN01010201:AC'!$AO$16:$AO$58)/1000-AK12-Z20</f>
        <v>44079.887272828608</v>
      </c>
      <c r="AL31" s="68"/>
      <c r="AM31" s="68"/>
      <c r="AN31" s="68"/>
      <c r="AO31" s="74">
        <f>SUM('[5]AN01010201:AC'!$AP$16:$AP$58)/1000-AO12-AD20</f>
        <v>47196.181210590847</v>
      </c>
      <c r="AP31" s="74">
        <f>SUM('[5]AN01010201:AC'!$AQ$16:$AQ$58)/1000-AP12-AE20</f>
        <v>50859.560834899356</v>
      </c>
      <c r="AQ31" s="75"/>
      <c r="AR31" s="75"/>
    </row>
    <row r="34" spans="2:44" x14ac:dyDescent="0.3">
      <c r="B34" s="43" t="s">
        <v>51</v>
      </c>
      <c r="C34" s="220">
        <f>N34+AJ34</f>
        <v>1804.0366517980203</v>
      </c>
      <c r="D34" s="220">
        <f>O34+AK34</f>
        <v>1858.2284771336767</v>
      </c>
      <c r="E34" s="139"/>
      <c r="F34" s="139"/>
      <c r="G34" s="139"/>
      <c r="H34" s="220">
        <f>S34+AO34</f>
        <v>1992.4779585035631</v>
      </c>
      <c r="I34" s="220">
        <f>T34+AP34</f>
        <v>2070.3332738309309</v>
      </c>
      <c r="M34" s="43" t="s">
        <v>51</v>
      </c>
      <c r="N34" s="287">
        <v>1208.0366517980203</v>
      </c>
      <c r="O34" s="287">
        <v>1190.2284771336767</v>
      </c>
      <c r="P34" s="288"/>
      <c r="Q34" s="288"/>
      <c r="R34" s="288"/>
      <c r="S34" s="287">
        <v>1235.4779585035631</v>
      </c>
      <c r="T34" s="287">
        <v>1273.3332738309309</v>
      </c>
      <c r="X34" s="43" t="s">
        <v>51</v>
      </c>
      <c r="Y34" s="138" t="s">
        <v>102</v>
      </c>
      <c r="Z34" s="138" t="s">
        <v>102</v>
      </c>
      <c r="AA34" s="139"/>
      <c r="AB34" s="139"/>
      <c r="AC34" s="139"/>
      <c r="AD34" s="138" t="s">
        <v>102</v>
      </c>
      <c r="AE34" s="138" t="s">
        <v>102</v>
      </c>
      <c r="AI34" s="43" t="s">
        <v>51</v>
      </c>
      <c r="AJ34" s="138">
        <v>596</v>
      </c>
      <c r="AK34" s="138">
        <v>668</v>
      </c>
      <c r="AL34" s="139"/>
      <c r="AM34" s="139"/>
      <c r="AN34" s="139"/>
      <c r="AO34" s="138">
        <v>757</v>
      </c>
      <c r="AP34" s="138">
        <v>797</v>
      </c>
    </row>
    <row r="35" spans="2:44" x14ac:dyDescent="0.3">
      <c r="B35" s="42" t="s">
        <v>52</v>
      </c>
      <c r="C35" s="137">
        <f>N35+AJ35</f>
        <v>88979.38649263799</v>
      </c>
      <c r="D35" s="137">
        <f>O35+AK35</f>
        <v>90986.433746176597</v>
      </c>
      <c r="E35" s="24"/>
      <c r="F35" s="25"/>
      <c r="G35" s="24"/>
      <c r="H35" s="137">
        <f>S35+AO35</f>
        <v>96610.569353100524</v>
      </c>
      <c r="I35" s="137">
        <f>T35+AP35</f>
        <v>102661.1543095478</v>
      </c>
      <c r="M35" s="42" t="s">
        <v>52</v>
      </c>
      <c r="N35" s="287">
        <v>35516.38649263799</v>
      </c>
      <c r="O35" s="287">
        <v>34964.43374617659</v>
      </c>
      <c r="P35" s="281"/>
      <c r="Q35" s="282"/>
      <c r="R35" s="281"/>
      <c r="S35" s="287">
        <v>35970.569353100531</v>
      </c>
      <c r="T35" s="287">
        <v>36693.154309547797</v>
      </c>
      <c r="X35" s="42" t="s">
        <v>52</v>
      </c>
      <c r="Y35" s="137">
        <f>Y24</f>
        <v>300</v>
      </c>
      <c r="Z35" s="137">
        <f>Z24</f>
        <v>1300</v>
      </c>
      <c r="AA35" s="24"/>
      <c r="AB35" s="25"/>
      <c r="AC35" s="24"/>
      <c r="AD35" s="137">
        <f>AD24</f>
        <v>3300</v>
      </c>
      <c r="AE35" s="137">
        <f>AE24</f>
        <v>3300</v>
      </c>
      <c r="AI35" s="42" t="s">
        <v>52</v>
      </c>
      <c r="AJ35" s="137">
        <v>53463</v>
      </c>
      <c r="AK35" s="137">
        <v>56022</v>
      </c>
      <c r="AL35" s="24"/>
      <c r="AM35" s="25"/>
      <c r="AN35" s="24"/>
      <c r="AO35" s="137">
        <v>60640</v>
      </c>
      <c r="AP35" s="137">
        <v>65968</v>
      </c>
    </row>
    <row r="36" spans="2:44" x14ac:dyDescent="0.3">
      <c r="B36" s="39" t="s">
        <v>44</v>
      </c>
      <c r="C36" s="38">
        <f>IFERROR(C34/C35,0)</f>
        <v>2.0274770628445314E-2</v>
      </c>
      <c r="D36" s="38">
        <f>IFERROR(D34/D35,0)</f>
        <v>2.0423137830828133E-2</v>
      </c>
      <c r="E36" s="97"/>
      <c r="F36" s="98"/>
      <c r="G36" s="97"/>
      <c r="H36" s="38">
        <f>IFERROR(H34/H35,0)</f>
        <v>2.0623809297938046E-2</v>
      </c>
      <c r="I36" s="38">
        <f>IFERROR(I34/I35,0)</f>
        <v>2.0166666620447141E-2</v>
      </c>
      <c r="J36" s="26"/>
      <c r="K36" s="26"/>
      <c r="M36" s="39" t="s">
        <v>44</v>
      </c>
      <c r="N36" s="283">
        <v>3.401350112147327E-2</v>
      </c>
      <c r="O36" s="283">
        <v>3.4041119778289844E-2</v>
      </c>
      <c r="P36" s="285"/>
      <c r="Q36" s="286"/>
      <c r="R36" s="285"/>
      <c r="S36" s="283">
        <v>3.4346911397916735E-2</v>
      </c>
      <c r="T36" s="283">
        <v>3.4702202571328174E-2</v>
      </c>
      <c r="U36" s="26"/>
      <c r="V36" s="26"/>
      <c r="X36" s="39" t="s">
        <v>44</v>
      </c>
      <c r="Y36" s="38">
        <f>IFERROR(Y34/Y35,0)</f>
        <v>0</v>
      </c>
      <c r="Z36" s="38">
        <f>IFERROR(Z34/Z35,0)</f>
        <v>0</v>
      </c>
      <c r="AA36" s="97"/>
      <c r="AB36" s="98"/>
      <c r="AC36" s="97"/>
      <c r="AD36" s="38">
        <f>IFERROR(AD34/AD35,0)</f>
        <v>0</v>
      </c>
      <c r="AE36" s="38">
        <f>IFERROR(AE34/AE35,0)</f>
        <v>0</v>
      </c>
      <c r="AF36" s="26"/>
      <c r="AG36" s="26"/>
      <c r="AI36" s="39" t="s">
        <v>44</v>
      </c>
      <c r="AJ36" s="38">
        <f>IFERROR(AJ34/AJ35,0)</f>
        <v>1.1147896676205974E-2</v>
      </c>
      <c r="AK36" s="38">
        <f>IFERROR(AK34/AK35,0)</f>
        <v>1.1923887044375425E-2</v>
      </c>
      <c r="AL36" s="97"/>
      <c r="AM36" s="98"/>
      <c r="AN36" s="97"/>
      <c r="AO36" s="38">
        <f>IFERROR(AO34/AO35,0)</f>
        <v>1.2483509234828495E-2</v>
      </c>
      <c r="AP36" s="38">
        <f>IFERROR(AP34/AP35,0)</f>
        <v>1.208161532864419E-2</v>
      </c>
      <c r="AQ36" s="26"/>
      <c r="AR36" s="26"/>
    </row>
    <row r="37" spans="2:44" x14ac:dyDescent="0.3">
      <c r="B37" s="136" t="s">
        <v>93</v>
      </c>
      <c r="C37" s="143">
        <f>N37+AJ37</f>
        <v>3839.95905225959</v>
      </c>
      <c r="D37" s="143">
        <f>O37+AK37</f>
        <v>3986.9089387487884</v>
      </c>
      <c r="E37" s="141"/>
      <c r="F37" s="142"/>
      <c r="G37" s="141"/>
      <c r="H37" s="143">
        <f>S37+AO37</f>
        <v>3916.1374663527163</v>
      </c>
      <c r="I37" s="143">
        <f>T37+AP37</f>
        <v>3936.9415827434027</v>
      </c>
      <c r="J37" s="26"/>
      <c r="K37" s="26"/>
      <c r="M37" s="136" t="s">
        <v>93</v>
      </c>
      <c r="N37" s="287">
        <v>3221.95905225959</v>
      </c>
      <c r="O37" s="287">
        <v>3344.9089387487884</v>
      </c>
      <c r="P37" s="288"/>
      <c r="Q37" s="288"/>
      <c r="R37" s="288"/>
      <c r="S37" s="287">
        <v>3247.1374663527163</v>
      </c>
      <c r="T37" s="287">
        <v>3230.9415827434027</v>
      </c>
      <c r="U37" s="26"/>
      <c r="V37" s="26"/>
      <c r="X37" s="136" t="s">
        <v>93</v>
      </c>
      <c r="Y37" s="143">
        <f>Y23</f>
        <v>0</v>
      </c>
      <c r="Z37" s="143">
        <f>Z23</f>
        <v>0</v>
      </c>
      <c r="AA37" s="141"/>
      <c r="AB37" s="142"/>
      <c r="AC37" s="141"/>
      <c r="AD37" s="143">
        <f>AD23</f>
        <v>0</v>
      </c>
      <c r="AE37" s="143">
        <f>AE23</f>
        <v>0</v>
      </c>
      <c r="AF37" s="26"/>
      <c r="AG37" s="26"/>
      <c r="AI37" s="136" t="s">
        <v>93</v>
      </c>
      <c r="AJ37" s="143">
        <v>618</v>
      </c>
      <c r="AK37" s="143">
        <v>642</v>
      </c>
      <c r="AL37" s="141"/>
      <c r="AM37" s="142"/>
      <c r="AN37" s="141"/>
      <c r="AO37" s="143">
        <v>669</v>
      </c>
      <c r="AP37" s="143">
        <v>706</v>
      </c>
      <c r="AQ37" s="26"/>
      <c r="AR37" s="26"/>
    </row>
    <row r="38" spans="2:44" x14ac:dyDescent="0.3">
      <c r="B38" s="136" t="s">
        <v>51</v>
      </c>
      <c r="C38" s="289">
        <f>C34</f>
        <v>1804.0366517980203</v>
      </c>
      <c r="D38" s="289">
        <f>D34</f>
        <v>1858.2284771336767</v>
      </c>
      <c r="E38" s="141"/>
      <c r="F38" s="142"/>
      <c r="G38" s="141"/>
      <c r="H38" s="289">
        <f>H34</f>
        <v>1992.4779585035631</v>
      </c>
      <c r="I38" s="289">
        <f>I34</f>
        <v>2070.3332738309309</v>
      </c>
      <c r="J38" s="26"/>
      <c r="K38" s="26"/>
      <c r="M38" s="136" t="s">
        <v>51</v>
      </c>
      <c r="N38" s="287">
        <v>1208.0366517980203</v>
      </c>
      <c r="O38" s="287">
        <v>1190.2284771336767</v>
      </c>
      <c r="P38" s="281"/>
      <c r="Q38" s="282"/>
      <c r="R38" s="281"/>
      <c r="S38" s="287">
        <v>1235.4779585035631</v>
      </c>
      <c r="T38" s="287">
        <v>1273.3332738309309</v>
      </c>
      <c r="U38" s="26"/>
      <c r="V38" s="26"/>
      <c r="X38" s="136" t="s">
        <v>51</v>
      </c>
      <c r="Y38" s="140" t="s">
        <v>102</v>
      </c>
      <c r="Z38" s="140" t="s">
        <v>102</v>
      </c>
      <c r="AA38" s="141"/>
      <c r="AB38" s="142"/>
      <c r="AC38" s="141"/>
      <c r="AD38" s="140" t="s">
        <v>102</v>
      </c>
      <c r="AE38" s="140" t="s">
        <v>102</v>
      </c>
      <c r="AF38" s="26"/>
      <c r="AG38" s="26"/>
      <c r="AI38" s="136" t="s">
        <v>51</v>
      </c>
      <c r="AJ38" s="140">
        <f>AJ34</f>
        <v>596</v>
      </c>
      <c r="AK38" s="140">
        <f>AK34</f>
        <v>668</v>
      </c>
      <c r="AL38" s="141"/>
      <c r="AM38" s="142"/>
      <c r="AN38" s="141"/>
      <c r="AO38" s="140">
        <v>757</v>
      </c>
      <c r="AP38" s="140">
        <v>797</v>
      </c>
      <c r="AQ38" s="26"/>
      <c r="AR38" s="26"/>
    </row>
    <row r="39" spans="2:44" x14ac:dyDescent="0.3">
      <c r="B39" s="40" t="s">
        <v>46</v>
      </c>
      <c r="C39" s="38">
        <f>IFERROR(C37/C38,0)</f>
        <v>2.1285371605019425</v>
      </c>
      <c r="D39" s="38">
        <f>IFERROR(D37/D38,0)</f>
        <v>2.1455429124079552</v>
      </c>
      <c r="E39" s="97"/>
      <c r="F39" s="98"/>
      <c r="G39" s="97"/>
      <c r="H39" s="38">
        <f>IFERROR(H37/H38,0)</f>
        <v>1.9654608722968783</v>
      </c>
      <c r="I39" s="38">
        <f>IFERROR(I37/I38,0)</f>
        <v>1.9015979854579221</v>
      </c>
      <c r="J39" s="26"/>
      <c r="K39" s="26"/>
      <c r="M39" s="40" t="s">
        <v>46</v>
      </c>
      <c r="N39" s="283">
        <v>2.6671037236031565</v>
      </c>
      <c r="O39" s="283">
        <v>2.8103082752683255</v>
      </c>
      <c r="P39" s="285"/>
      <c r="Q39" s="286"/>
      <c r="R39" s="285"/>
      <c r="S39" s="283">
        <v>2.6282439472135284</v>
      </c>
      <c r="T39" s="283">
        <v>2.537388796118428</v>
      </c>
      <c r="U39" s="26"/>
      <c r="V39" s="26"/>
      <c r="X39" s="40" t="s">
        <v>46</v>
      </c>
      <c r="Y39" s="38">
        <f>IFERROR(Y37/Y38,0)</f>
        <v>0</v>
      </c>
      <c r="Z39" s="38">
        <f>IFERROR(Z37/Z38,0)</f>
        <v>0</v>
      </c>
      <c r="AA39" s="97"/>
      <c r="AB39" s="98"/>
      <c r="AC39" s="97"/>
      <c r="AD39" s="38">
        <f>IFERROR(AD37/AD38,0)</f>
        <v>0</v>
      </c>
      <c r="AE39" s="38">
        <f>IFERROR(AE37/AE38,0)</f>
        <v>0</v>
      </c>
      <c r="AF39" s="26"/>
      <c r="AG39" s="26"/>
      <c r="AI39" s="40" t="s">
        <v>46</v>
      </c>
      <c r="AJ39" s="38">
        <f>IFERROR(AJ37/AJ38,0)</f>
        <v>1.0369127516778522</v>
      </c>
      <c r="AK39" s="38">
        <f>IFERROR(AK37/AK38,0)</f>
        <v>0.96107784431137722</v>
      </c>
      <c r="AL39" s="97"/>
      <c r="AM39" s="98"/>
      <c r="AN39" s="97"/>
      <c r="AO39" s="38">
        <f>IFERROR(AO37/AO38,0)</f>
        <v>0.88375165125495381</v>
      </c>
      <c r="AP39" s="38">
        <f>IFERROR(AP37/AP38,0)</f>
        <v>0.88582183186951069</v>
      </c>
      <c r="AQ39" s="26"/>
      <c r="AR39" s="26"/>
    </row>
    <row r="40" spans="2:44" x14ac:dyDescent="0.3">
      <c r="B40" s="27"/>
      <c r="C40" s="28"/>
      <c r="D40" s="28"/>
      <c r="E40" s="24"/>
      <c r="F40" s="25"/>
      <c r="G40" s="24"/>
      <c r="H40" s="28"/>
      <c r="I40" s="28"/>
      <c r="J40" s="26"/>
      <c r="K40" s="26"/>
      <c r="M40" s="27"/>
      <c r="N40" s="28"/>
      <c r="O40" s="28"/>
      <c r="P40" s="24"/>
      <c r="Q40" s="25"/>
      <c r="R40" s="24"/>
      <c r="S40" s="28"/>
      <c r="T40" s="28"/>
      <c r="U40" s="26"/>
      <c r="V40" s="26"/>
      <c r="X40" s="27"/>
      <c r="Y40" s="28"/>
      <c r="Z40" s="28"/>
      <c r="AA40" s="24"/>
      <c r="AB40" s="25"/>
      <c r="AC40" s="24"/>
      <c r="AD40" s="28"/>
      <c r="AE40" s="28"/>
      <c r="AF40" s="26"/>
      <c r="AG40" s="26"/>
      <c r="AI40" s="27"/>
      <c r="AJ40" s="28"/>
      <c r="AK40" s="28"/>
      <c r="AL40" s="24"/>
      <c r="AM40" s="25"/>
      <c r="AN40" s="24"/>
      <c r="AO40" s="28"/>
      <c r="AP40" s="28"/>
      <c r="AQ40" s="26"/>
      <c r="AR40" s="26"/>
    </row>
    <row r="41" spans="2:44" x14ac:dyDescent="0.3">
      <c r="B41" s="39" t="s">
        <v>47</v>
      </c>
      <c r="C41" s="23" t="s">
        <v>45</v>
      </c>
      <c r="D41" s="23" t="s">
        <v>45</v>
      </c>
      <c r="E41" s="24"/>
      <c r="F41" s="25"/>
      <c r="G41" s="24"/>
      <c r="H41" s="23" t="s">
        <v>45</v>
      </c>
      <c r="I41" s="23" t="s">
        <v>45</v>
      </c>
      <c r="J41" s="26"/>
      <c r="K41" s="26"/>
      <c r="M41" s="39" t="s">
        <v>47</v>
      </c>
      <c r="N41" s="23" t="s">
        <v>45</v>
      </c>
      <c r="O41" s="23" t="s">
        <v>45</v>
      </c>
      <c r="P41" s="24"/>
      <c r="Q41" s="25"/>
      <c r="R41" s="24"/>
      <c r="S41" s="23" t="s">
        <v>45</v>
      </c>
      <c r="T41" s="23" t="s">
        <v>45</v>
      </c>
      <c r="U41" s="26"/>
      <c r="V41" s="26"/>
      <c r="X41" s="39" t="s">
        <v>109</v>
      </c>
      <c r="Y41" s="128"/>
      <c r="Z41" s="128"/>
      <c r="AA41" s="24"/>
      <c r="AB41" s="25"/>
      <c r="AC41" s="24"/>
      <c r="AD41" s="128"/>
      <c r="AE41" s="128"/>
      <c r="AF41" s="26"/>
      <c r="AG41" s="26"/>
      <c r="AI41" s="39" t="s">
        <v>109</v>
      </c>
      <c r="AJ41" s="128">
        <f>[8]Summary!$L$39</f>
        <v>2.9952126337537778E-2</v>
      </c>
      <c r="AK41" s="128">
        <f>[8]Summary!$P$39</f>
        <v>2.966965354941203E-2</v>
      </c>
      <c r="AL41" s="24"/>
      <c r="AM41" s="25"/>
      <c r="AN41" s="24"/>
      <c r="AO41" s="128">
        <f>[8]Summary!$T$39</f>
        <v>3.0240340438140462E-2</v>
      </c>
      <c r="AP41" s="128">
        <f>[8]Summary!$X$39</f>
        <v>3.1234697214562786E-2</v>
      </c>
      <c r="AQ41" s="26"/>
      <c r="AR41" s="26"/>
    </row>
    <row r="42" spans="2:44" ht="15" thickBot="1" x14ac:dyDescent="0.35">
      <c r="B42" s="29"/>
      <c r="C42" s="30"/>
      <c r="D42" s="30"/>
      <c r="E42" s="25"/>
      <c r="F42" s="31"/>
      <c r="G42" s="25"/>
      <c r="H42" s="30"/>
      <c r="I42" s="30"/>
      <c r="J42" s="26"/>
      <c r="K42" s="26"/>
      <c r="M42" s="29"/>
      <c r="N42" s="30"/>
      <c r="O42" s="30"/>
      <c r="P42" s="25"/>
      <c r="Q42" s="31"/>
      <c r="R42" s="25"/>
      <c r="S42" s="30"/>
      <c r="T42" s="30"/>
      <c r="U42" s="26"/>
      <c r="V42" s="26"/>
      <c r="X42" s="129"/>
      <c r="Y42" s="30"/>
      <c r="Z42" s="30"/>
      <c r="AA42" s="25"/>
      <c r="AB42" s="31"/>
      <c r="AC42" s="25"/>
      <c r="AD42" s="30"/>
      <c r="AE42" s="30"/>
      <c r="AF42" s="26"/>
      <c r="AG42" s="26"/>
      <c r="AI42" s="129" t="s">
        <v>110</v>
      </c>
      <c r="AJ42" s="30"/>
      <c r="AK42" s="30"/>
      <c r="AL42" s="25"/>
      <c r="AM42" s="31"/>
      <c r="AN42" s="25"/>
      <c r="AO42" s="30"/>
      <c r="AP42" s="30"/>
      <c r="AQ42" s="26"/>
      <c r="AR42" s="26"/>
    </row>
    <row r="43" spans="2:44" ht="24.75" customHeight="1" thickTop="1" thickBot="1" x14ac:dyDescent="0.35">
      <c r="B43" s="8" t="s">
        <v>48</v>
      </c>
      <c r="C43" s="302">
        <f>'Capital Plan'!C11</f>
        <v>89966.126724348564</v>
      </c>
      <c r="D43" s="302">
        <f>'Capital Plan'!D11</f>
        <v>95926.189581732848</v>
      </c>
      <c r="E43" s="303"/>
      <c r="F43" s="304">
        <f t="shared" ref="F43" si="22">IFERROR((D43-C43)/C43,0)</f>
        <v>6.6247854324612637E-2</v>
      </c>
      <c r="G43" s="303"/>
      <c r="H43" s="302">
        <f>'Capital Plan'!H11</f>
        <v>100750.34168226724</v>
      </c>
      <c r="I43" s="305">
        <f>'Capital Plan'!I11</f>
        <v>106176.2597177538</v>
      </c>
      <c r="J43" s="26"/>
      <c r="K43" s="59">
        <f t="shared" ref="K43" si="23">IFERROR(((I43/C43)^(1/3))-1,0)</f>
        <v>5.6775654510097695E-2</v>
      </c>
      <c r="M43" s="8" t="s">
        <v>48</v>
      </c>
      <c r="N43" s="151">
        <f>'Capital Plan'!N11</f>
        <v>35298.273621057822</v>
      </c>
      <c r="O43" s="151">
        <f>'Capital Plan'!O11</f>
        <v>36546.880254631411</v>
      </c>
      <c r="P43" s="34"/>
      <c r="Q43" s="59">
        <f t="shared" ref="Q43" si="24">IFERROR((O43-N43)/N43,0)</f>
        <v>3.5373022685979458E-2</v>
      </c>
      <c r="R43" s="34"/>
      <c r="S43" s="151">
        <f>'Capital Plan'!S11</f>
        <v>37961.744287403344</v>
      </c>
      <c r="T43" s="151">
        <f>'Capital Plan'!T11</f>
        <v>38632.766712718396</v>
      </c>
      <c r="U43" s="26"/>
      <c r="V43" s="59">
        <f t="shared" ref="V43" si="25">IFERROR(((T43/N43)^(1/3))-1,0)</f>
        <v>3.0546158528702572E-2</v>
      </c>
      <c r="X43" s="8" t="s">
        <v>48</v>
      </c>
      <c r="Y43" s="33">
        <f>'Capital Plan'!AJ11</f>
        <v>114</v>
      </c>
      <c r="Z43" s="33">
        <f>'Capital Plan'!AK11</f>
        <v>114</v>
      </c>
      <c r="AA43" s="34"/>
      <c r="AB43" s="59">
        <f t="shared" ref="AB43" si="26">IFERROR((Z43-Y43)/Y43,0)</f>
        <v>0</v>
      </c>
      <c r="AC43" s="34"/>
      <c r="AD43" s="33">
        <f>'Capital Plan'!AO11</f>
        <v>114</v>
      </c>
      <c r="AE43" s="33">
        <f>'Capital Plan'!AP11</f>
        <v>114</v>
      </c>
      <c r="AF43" s="26"/>
      <c r="AG43" s="59">
        <f t="shared" ref="AG43" si="27">IFERROR(((AE43/Y43)^(1/3))-1,0)</f>
        <v>0</v>
      </c>
      <c r="AI43" s="8" t="s">
        <v>48</v>
      </c>
      <c r="AJ43" s="151">
        <f>'Capital Plan'!AU11</f>
        <v>54553.853103290734</v>
      </c>
      <c r="AK43" s="151">
        <f>'Capital Plan'!AV11</f>
        <v>59265.309327101451</v>
      </c>
      <c r="AL43" s="34"/>
      <c r="AM43" s="59">
        <f t="shared" ref="AM43" si="28">IFERROR((AK43-AJ43)/AJ43,0)</f>
        <v>8.6363399756387113E-2</v>
      </c>
      <c r="AN43" s="34"/>
      <c r="AO43" s="151">
        <f>'Capital Plan'!AZ11</f>
        <v>62674.5973948639</v>
      </c>
      <c r="AP43" s="151">
        <f>'Capital Plan'!BA11</f>
        <v>67429.493005035416</v>
      </c>
      <c r="AQ43" s="26"/>
      <c r="AR43" s="59">
        <f t="shared" ref="AR43" si="29">IFERROR(((AP43/AJ43)^(1/3))-1,0)</f>
        <v>7.3185562355763789E-2</v>
      </c>
    </row>
    <row r="44" spans="2:44" ht="15" thickTop="1" x14ac:dyDescent="0.3">
      <c r="B44" s="35"/>
      <c r="C44" s="36"/>
      <c r="D44" s="36"/>
      <c r="E44" s="25"/>
      <c r="F44" s="37"/>
      <c r="G44" s="25"/>
      <c r="H44" s="36"/>
      <c r="I44" s="36"/>
      <c r="J44" s="26"/>
      <c r="K44" s="26"/>
      <c r="M44" s="35"/>
      <c r="N44" s="36"/>
      <c r="O44" s="36"/>
      <c r="P44" s="25"/>
      <c r="Q44" s="37"/>
      <c r="R44" s="25"/>
      <c r="S44" s="36"/>
      <c r="T44" s="36"/>
      <c r="U44" s="26"/>
      <c r="V44" s="26"/>
      <c r="X44" s="35"/>
      <c r="Y44" s="36"/>
      <c r="Z44" s="36"/>
      <c r="AA44" s="25"/>
      <c r="AB44" s="37"/>
      <c r="AC44" s="25"/>
      <c r="AD44" s="36"/>
      <c r="AE44" s="36"/>
      <c r="AF44" s="26"/>
      <c r="AG44" s="26"/>
      <c r="AI44" s="35"/>
      <c r="AJ44" s="36"/>
      <c r="AK44" s="36"/>
      <c r="AL44" s="25"/>
      <c r="AM44" s="37"/>
      <c r="AN44" s="25"/>
      <c r="AO44" s="36"/>
      <c r="AP44" s="36"/>
      <c r="AQ44" s="26"/>
      <c r="AR44" s="26"/>
    </row>
    <row r="45" spans="2:44" x14ac:dyDescent="0.3">
      <c r="B45" s="39" t="s">
        <v>49</v>
      </c>
      <c r="C45" s="38">
        <f>IFERROR(C43/C24,0)</f>
        <v>1.0166125733286373</v>
      </c>
      <c r="D45" s="38">
        <f>IFERROR(D43/D24,0)</f>
        <v>1.0455960491979248</v>
      </c>
      <c r="E45" s="97"/>
      <c r="F45" s="98"/>
      <c r="G45" s="97"/>
      <c r="H45" s="38">
        <f>IFERROR(H43/H24,0)</f>
        <v>1.0214741293799334</v>
      </c>
      <c r="I45" s="38">
        <f>IFERROR(I43/I24,0)</f>
        <v>1.0199439230014882</v>
      </c>
      <c r="J45" s="26"/>
      <c r="K45" s="26"/>
      <c r="M45" s="39" t="s">
        <v>49</v>
      </c>
      <c r="N45" s="38">
        <f>IFERROR(N43/N24,0)</f>
        <v>1.0551773348600499</v>
      </c>
      <c r="O45" s="38">
        <f>IFERROR(O43/O24,0)</f>
        <v>1.1229518828833578</v>
      </c>
      <c r="P45" s="97"/>
      <c r="Q45" s="98"/>
      <c r="R45" s="97"/>
      <c r="S45" s="38">
        <f>IFERROR(S43/S24,0)</f>
        <v>1.1350549974231849</v>
      </c>
      <c r="T45" s="38">
        <f>IFERROR(T43/T24,0)</f>
        <v>1.1297882825580763</v>
      </c>
      <c r="U45" s="26"/>
      <c r="V45" s="26"/>
      <c r="X45" s="39" t="s">
        <v>49</v>
      </c>
      <c r="Y45" s="38">
        <f>IFERROR(Y43/Y24,0)</f>
        <v>0.38</v>
      </c>
      <c r="Z45" s="38">
        <f>IFERROR(Z43/Z24,0)</f>
        <v>8.7692307692307694E-2</v>
      </c>
      <c r="AA45" s="97"/>
      <c r="AB45" s="98"/>
      <c r="AC45" s="97"/>
      <c r="AD45" s="38">
        <f>IFERROR(AD43/AD24,0)</f>
        <v>3.4545454545454546E-2</v>
      </c>
      <c r="AE45" s="38">
        <f>IFERROR(AE43/AE24,0)</f>
        <v>3.4545454545454546E-2</v>
      </c>
      <c r="AF45" s="26"/>
      <c r="AG45" s="26"/>
      <c r="AI45" s="39" t="s">
        <v>49</v>
      </c>
      <c r="AJ45" s="38">
        <f>IFERROR(AJ43/AJ24,0)</f>
        <v>0.99653527221683447</v>
      </c>
      <c r="AK45" s="38">
        <f>IFERROR(AK43/AK24,0)</f>
        <v>1.0236210997844062</v>
      </c>
      <c r="AL45" s="97"/>
      <c r="AM45" s="98"/>
      <c r="AN45" s="97"/>
      <c r="AO45" s="38">
        <f>IFERROR(AO43/AO24,0)</f>
        <v>1.0127190345447159</v>
      </c>
      <c r="AP45" s="38">
        <f>IFERROR(AP43/AP24,0)</f>
        <v>1.0123727722421336</v>
      </c>
      <c r="AQ45" s="26"/>
      <c r="AR45" s="26"/>
    </row>
    <row r="46" spans="2:44" x14ac:dyDescent="0.3">
      <c r="B46" s="26"/>
      <c r="C46" s="26"/>
      <c r="D46" s="26"/>
      <c r="E46" s="26"/>
      <c r="F46" s="26"/>
      <c r="G46" s="26"/>
      <c r="H46" s="26"/>
      <c r="I46" s="26"/>
      <c r="J46" s="26"/>
      <c r="K46" s="26"/>
    </row>
    <row r="47" spans="2:44" x14ac:dyDescent="0.3">
      <c r="B47" s="26"/>
      <c r="C47" s="26"/>
      <c r="D47" s="26"/>
      <c r="E47" s="26"/>
      <c r="F47" s="26"/>
      <c r="G47" s="26"/>
      <c r="H47" s="26"/>
      <c r="I47" s="26"/>
      <c r="J47" s="26"/>
      <c r="K47" s="26"/>
    </row>
    <row r="48" spans="2:44" x14ac:dyDescent="0.3">
      <c r="B48" s="26"/>
      <c r="C48" s="26"/>
      <c r="D48" s="26"/>
      <c r="E48" s="26"/>
      <c r="F48" s="26"/>
      <c r="G48" s="26"/>
      <c r="H48" s="26"/>
      <c r="I48" s="26"/>
      <c r="J48" s="26"/>
      <c r="K48" s="26"/>
    </row>
    <row r="49" spans="2:44" ht="18" x14ac:dyDescent="0.35">
      <c r="B49" s="216" t="s">
        <v>0</v>
      </c>
      <c r="C49" s="216"/>
      <c r="D49" s="216"/>
      <c r="E49" s="216"/>
      <c r="F49" s="216"/>
      <c r="G49" s="216"/>
      <c r="H49" s="216"/>
      <c r="I49" s="216"/>
      <c r="J49" s="216"/>
      <c r="K49" s="216"/>
      <c r="M49" s="217" t="s">
        <v>1</v>
      </c>
      <c r="N49" s="217"/>
      <c r="O49" s="217"/>
      <c r="P49" s="217"/>
      <c r="Q49" s="217"/>
      <c r="R49" s="217"/>
      <c r="S49" s="217"/>
      <c r="T49" s="217"/>
      <c r="U49" s="217"/>
      <c r="V49" s="217"/>
      <c r="X49" s="217" t="s">
        <v>111</v>
      </c>
      <c r="Y49" s="217"/>
      <c r="Z49" s="217"/>
      <c r="AA49" s="217"/>
      <c r="AB49" s="217"/>
      <c r="AC49" s="217"/>
      <c r="AD49" s="217"/>
      <c r="AE49" s="217"/>
      <c r="AF49" s="217"/>
      <c r="AG49" s="217"/>
      <c r="AI49" s="217" t="s">
        <v>35</v>
      </c>
      <c r="AJ49" s="217"/>
      <c r="AK49" s="217"/>
      <c r="AL49" s="217"/>
      <c r="AM49" s="217"/>
      <c r="AN49" s="217"/>
      <c r="AO49" s="217"/>
      <c r="AP49" s="217"/>
      <c r="AQ49" s="217"/>
      <c r="AR49" s="217"/>
    </row>
    <row r="50" spans="2:44" x14ac:dyDescent="0.3">
      <c r="B50" s="26"/>
      <c r="C50" s="26"/>
      <c r="D50" s="26"/>
      <c r="E50" s="26"/>
      <c r="F50" s="26"/>
      <c r="G50" s="26"/>
      <c r="H50" s="26"/>
      <c r="I50" s="26"/>
      <c r="J50" s="26"/>
      <c r="K50" s="26"/>
    </row>
    <row r="51" spans="2:44" ht="15" thickBot="1" x14ac:dyDescent="0.35">
      <c r="B51" s="26"/>
      <c r="C51" s="26"/>
      <c r="D51" s="26"/>
      <c r="E51" s="26"/>
      <c r="F51" s="26"/>
      <c r="G51" s="26"/>
      <c r="H51" s="26"/>
      <c r="I51" s="26"/>
      <c r="J51" s="26"/>
      <c r="K51" s="26"/>
    </row>
    <row r="52" spans="2:44" ht="28.8" thickTop="1" thickBot="1" x14ac:dyDescent="0.35">
      <c r="B52" s="26"/>
      <c r="C52" s="1" t="s">
        <v>2</v>
      </c>
      <c r="D52" s="1" t="s">
        <v>3</v>
      </c>
      <c r="E52" s="2"/>
      <c r="F52" s="3" t="s">
        <v>4</v>
      </c>
      <c r="G52" s="4"/>
      <c r="H52" s="1" t="s">
        <v>5</v>
      </c>
      <c r="I52" s="1" t="s">
        <v>6</v>
      </c>
      <c r="J52" s="2"/>
      <c r="K52" s="3" t="s">
        <v>7</v>
      </c>
      <c r="M52" s="26"/>
      <c r="N52" s="1" t="s">
        <v>2</v>
      </c>
      <c r="O52" s="1" t="s">
        <v>3</v>
      </c>
      <c r="P52" s="2"/>
      <c r="Q52" s="3" t="s">
        <v>4</v>
      </c>
      <c r="R52" s="4"/>
      <c r="S52" s="1" t="s">
        <v>5</v>
      </c>
      <c r="T52" s="1" t="s">
        <v>6</v>
      </c>
      <c r="U52" s="2"/>
      <c r="V52" s="3" t="s">
        <v>7</v>
      </c>
      <c r="X52" s="26"/>
      <c r="Y52" s="1" t="s">
        <v>2</v>
      </c>
      <c r="Z52" s="1" t="s">
        <v>3</v>
      </c>
      <c r="AA52" s="2"/>
      <c r="AB52" s="3" t="s">
        <v>4</v>
      </c>
      <c r="AC52" s="4"/>
      <c r="AD52" s="1" t="s">
        <v>5</v>
      </c>
      <c r="AE52" s="1" t="s">
        <v>6</v>
      </c>
      <c r="AF52" s="2"/>
      <c r="AG52" s="3" t="s">
        <v>7</v>
      </c>
      <c r="AI52" s="26"/>
      <c r="AJ52" s="1" t="s">
        <v>2</v>
      </c>
      <c r="AK52" s="1" t="s">
        <v>3</v>
      </c>
      <c r="AL52" s="2"/>
      <c r="AM52" s="3" t="s">
        <v>4</v>
      </c>
      <c r="AN52" s="4"/>
      <c r="AO52" s="1" t="s">
        <v>5</v>
      </c>
      <c r="AP52" s="1" t="s">
        <v>6</v>
      </c>
      <c r="AQ52" s="2"/>
      <c r="AR52" s="3" t="s">
        <v>7</v>
      </c>
    </row>
    <row r="53" spans="2:44" ht="15" thickTop="1" x14ac:dyDescent="0.3">
      <c r="B53" t="s">
        <v>85</v>
      </c>
      <c r="C53" s="58">
        <f t="shared" ref="C53:D56" si="30">Y53+AJ53</f>
        <v>19066.082244545563</v>
      </c>
      <c r="D53" s="58">
        <f t="shared" si="30"/>
        <v>19032.767542784011</v>
      </c>
      <c r="F53" s="63">
        <f t="shared" ref="F53:F56" si="31">(D53-C53)/C53</f>
        <v>-1.7473281261588325E-3</v>
      </c>
      <c r="H53" s="58">
        <f t="shared" ref="H53:I56" si="32">AD53+AO53</f>
        <v>19670.29025268753</v>
      </c>
      <c r="I53" s="58">
        <f t="shared" si="32"/>
        <v>20952.7454283347</v>
      </c>
      <c r="K53" s="63">
        <f t="shared" ref="K53:K57" si="33">((I53/C53)^(1/3))-1</f>
        <v>3.1952778674642301E-2</v>
      </c>
      <c r="M53" t="s">
        <v>85</v>
      </c>
      <c r="N53" t="s">
        <v>102</v>
      </c>
      <c r="O53" t="s">
        <v>102</v>
      </c>
      <c r="Q53" s="63"/>
      <c r="S53" t="s">
        <v>102</v>
      </c>
      <c r="T53" t="s">
        <v>102</v>
      </c>
      <c r="X53" t="s">
        <v>85</v>
      </c>
      <c r="Y53" s="58"/>
      <c r="Z53" s="58"/>
      <c r="AB53" s="63">
        <f>IFERROR((Z53-Y53)/Y53,0)</f>
        <v>0</v>
      </c>
      <c r="AD53" s="58"/>
      <c r="AE53" s="58"/>
      <c r="AG53" s="63">
        <f>IFERROR(((AE53/Y53)^(1/3))-1,0)</f>
        <v>0</v>
      </c>
      <c r="AI53" t="s">
        <v>85</v>
      </c>
      <c r="AJ53" s="58">
        <f>-SUM('[5]AN01010201:AC'!$AN$116)/1000</f>
        <v>19066.082244545563</v>
      </c>
      <c r="AK53" s="58">
        <f>-SUM('[5]AN01010201:AC'!$AO$116)/1000</f>
        <v>19032.767542784011</v>
      </c>
      <c r="AM53" s="63">
        <f t="shared" ref="AM53:AM56" si="34">(AK53-AJ53)/AJ53</f>
        <v>-1.7473281261588325E-3</v>
      </c>
      <c r="AO53" s="58">
        <f>-SUM('[5]AN01010201:AC'!$AP$116)/1000</f>
        <v>19670.29025268753</v>
      </c>
      <c r="AP53" s="58">
        <f>-SUM('[5]AN01010201:AC'!$AQ$116)/1000</f>
        <v>20952.7454283347</v>
      </c>
      <c r="AR53" s="63">
        <f t="shared" ref="AR53:AR56" si="35">((AP53/AJ53)^(1/3))-1</f>
        <v>3.1952778674642301E-2</v>
      </c>
    </row>
    <row r="54" spans="2:44" x14ac:dyDescent="0.3">
      <c r="B54" t="s">
        <v>86</v>
      </c>
      <c r="C54" s="58">
        <f t="shared" si="30"/>
        <v>27542.768313626537</v>
      </c>
      <c r="D54" s="58">
        <f t="shared" si="30"/>
        <v>30045.424328124456</v>
      </c>
      <c r="F54" s="63">
        <f t="shared" si="31"/>
        <v>9.0864359965579525E-2</v>
      </c>
      <c r="H54" s="58">
        <f t="shared" si="32"/>
        <v>32240.98851360023</v>
      </c>
      <c r="I54" s="58">
        <f t="shared" si="32"/>
        <v>34136.144110707348</v>
      </c>
      <c r="K54" s="63">
        <f t="shared" si="33"/>
        <v>7.4159956032891605E-2</v>
      </c>
      <c r="M54" t="s">
        <v>86</v>
      </c>
      <c r="N54" t="s">
        <v>102</v>
      </c>
      <c r="O54" t="s">
        <v>102</v>
      </c>
      <c r="Q54" s="63"/>
      <c r="S54" t="s">
        <v>102</v>
      </c>
      <c r="T54" t="s">
        <v>102</v>
      </c>
      <c r="X54" t="s">
        <v>86</v>
      </c>
      <c r="Y54" s="58"/>
      <c r="Z54" s="58"/>
      <c r="AB54" s="63">
        <f>IFERROR((Z54-Y54)/Y54,0)</f>
        <v>0</v>
      </c>
      <c r="AD54" s="58"/>
      <c r="AE54" s="58"/>
      <c r="AG54" s="63">
        <f>IFERROR(((AE54/Y54)^(1/3))-1,0)</f>
        <v>0</v>
      </c>
      <c r="AI54" t="s">
        <v>86</v>
      </c>
      <c r="AJ54" s="58">
        <f>-SUM('[5]AN01010201:AC'!$AN$117)/1000</f>
        <v>27542.768313626537</v>
      </c>
      <c r="AK54" s="58">
        <f>-SUM('[5]AN01010201:AC'!$AO$117)/1000</f>
        <v>30045.424328124456</v>
      </c>
      <c r="AM54" s="63">
        <f t="shared" si="34"/>
        <v>9.0864359965579525E-2</v>
      </c>
      <c r="AO54" s="58">
        <f>-SUM('[5]AN01010201:AC'!$AP$117)/1000</f>
        <v>32240.98851360023</v>
      </c>
      <c r="AP54" s="58">
        <f>-SUM('[5]AN01010201:AC'!$AQ$117)/1000</f>
        <v>34136.144110707348</v>
      </c>
      <c r="AR54" s="63">
        <f t="shared" si="35"/>
        <v>7.4159956032891605E-2</v>
      </c>
    </row>
    <row r="55" spans="2:44" x14ac:dyDescent="0.3">
      <c r="B55" t="s">
        <v>87</v>
      </c>
      <c r="C55" s="58">
        <f t="shared" si="30"/>
        <v>7775.0681172876175</v>
      </c>
      <c r="D55" s="58">
        <f t="shared" si="30"/>
        <v>8644.8980851557026</v>
      </c>
      <c r="F55" s="63">
        <f t="shared" si="31"/>
        <v>0.11187425688709347</v>
      </c>
      <c r="H55" s="58">
        <f t="shared" si="32"/>
        <v>8955.4551509316479</v>
      </c>
      <c r="I55" s="58">
        <f t="shared" si="32"/>
        <v>9451.3059330566139</v>
      </c>
      <c r="K55" s="63">
        <f t="shared" si="33"/>
        <v>6.7241094501632626E-2</v>
      </c>
      <c r="M55" t="s">
        <v>87</v>
      </c>
      <c r="N55" t="s">
        <v>102</v>
      </c>
      <c r="O55" t="s">
        <v>102</v>
      </c>
      <c r="Q55" s="63"/>
      <c r="S55" t="s">
        <v>102</v>
      </c>
      <c r="T55" t="s">
        <v>102</v>
      </c>
      <c r="X55" t="s">
        <v>87</v>
      </c>
      <c r="Y55" s="58"/>
      <c r="Z55" s="58"/>
      <c r="AB55" s="63">
        <f>IFERROR((Z55-Y55)/Y55,0)</f>
        <v>0</v>
      </c>
      <c r="AD55" s="58"/>
      <c r="AE55" s="58"/>
      <c r="AG55" s="63">
        <f>IFERROR(((AE55/Y55)^(1/3))-1,0)</f>
        <v>0</v>
      </c>
      <c r="AI55" t="s">
        <v>87</v>
      </c>
      <c r="AJ55" s="58">
        <f>-SUM('[5]AN01010201:AC'!$AN$119)/1000</f>
        <v>7775.0681172876175</v>
      </c>
      <c r="AK55" s="58">
        <f>-SUM('[5]AN01010201:AC'!$AO$119)/1000</f>
        <v>8644.8980851557026</v>
      </c>
      <c r="AM55" s="63">
        <f t="shared" si="34"/>
        <v>0.11187425688709347</v>
      </c>
      <c r="AO55" s="58">
        <f>-SUM('[5]AN01010201:AC'!$AP$119)/1000</f>
        <v>8955.4551509316479</v>
      </c>
      <c r="AP55" s="58">
        <f>-SUM('[5]AN01010201:AC'!$AQ$119)/1000</f>
        <v>9451.3059330566139</v>
      </c>
      <c r="AR55" s="63">
        <f t="shared" si="35"/>
        <v>6.7241094501632626E-2</v>
      </c>
    </row>
    <row r="56" spans="2:44" ht="15" thickBot="1" x14ac:dyDescent="0.35">
      <c r="B56" t="s">
        <v>88</v>
      </c>
      <c r="C56" s="58">
        <f t="shared" si="30"/>
        <v>439.40607754527525</v>
      </c>
      <c r="D56" s="58">
        <f t="shared" si="30"/>
        <v>476.20981124821316</v>
      </c>
      <c r="F56" s="63">
        <f t="shared" si="31"/>
        <v>8.375790773887451E-2</v>
      </c>
      <c r="H56" s="58">
        <f t="shared" si="32"/>
        <v>472.80291658420464</v>
      </c>
      <c r="I56" s="58">
        <f t="shared" si="32"/>
        <v>477.40518321660022</v>
      </c>
      <c r="K56" s="63">
        <f t="shared" si="33"/>
        <v>2.8032923462742998E-2</v>
      </c>
      <c r="M56" t="s">
        <v>88</v>
      </c>
      <c r="N56" t="s">
        <v>102</v>
      </c>
      <c r="O56" t="s">
        <v>102</v>
      </c>
      <c r="Q56" s="63"/>
      <c r="S56" t="s">
        <v>102</v>
      </c>
      <c r="T56" t="s">
        <v>102</v>
      </c>
      <c r="X56" t="s">
        <v>88</v>
      </c>
      <c r="Y56" s="58"/>
      <c r="Z56" s="58"/>
      <c r="AB56" s="63">
        <f>IFERROR((Z56-Y56)/Y56,0)</f>
        <v>0</v>
      </c>
      <c r="AD56" s="58"/>
      <c r="AE56" s="58"/>
      <c r="AG56" s="63">
        <f>IFERROR(((AE56/Y56)^(1/3))-1,0)</f>
        <v>0</v>
      </c>
      <c r="AI56" t="s">
        <v>88</v>
      </c>
      <c r="AJ56" s="58">
        <f>-SUM('[5]AN01010201:AC'!$AN$125)/1000</f>
        <v>439.40607754527525</v>
      </c>
      <c r="AK56" s="58">
        <f>-SUM('[5]AN01010201:AC'!$AO$125)/1000</f>
        <v>476.20981124821316</v>
      </c>
      <c r="AM56" s="63">
        <f t="shared" si="34"/>
        <v>8.375790773887451E-2</v>
      </c>
      <c r="AO56" s="58">
        <f>-SUM('[5]AN01010201:AC'!$AP$125)/1000</f>
        <v>472.80291658420464</v>
      </c>
      <c r="AP56" s="58">
        <f>-SUM('[5]AN01010201:AC'!$AQ$125)/1000</f>
        <v>477.40518321660022</v>
      </c>
      <c r="AR56" s="63">
        <f t="shared" si="35"/>
        <v>2.8032923462742998E-2</v>
      </c>
    </row>
    <row r="57" spans="2:44" ht="24.75" customHeight="1" thickTop="1" thickBot="1" x14ac:dyDescent="0.35">
      <c r="B57" s="8" t="s">
        <v>53</v>
      </c>
      <c r="C57" s="57">
        <f>SUM(C53:C56)</f>
        <v>54823.324753004992</v>
      </c>
      <c r="D57" s="57">
        <f>SUM(D53:D56)</f>
        <v>58199.299767312383</v>
      </c>
      <c r="F57" s="59">
        <f>IFERROR((D57-C57)/C57,0)</f>
        <v>6.1579173271908247E-2</v>
      </c>
      <c r="H57" s="57">
        <f>SUM(H53:H56)</f>
        <v>61339.536833803606</v>
      </c>
      <c r="I57" s="57">
        <f>SUM(I53:I56)</f>
        <v>65017.600655315269</v>
      </c>
      <c r="K57" s="59">
        <f t="shared" si="33"/>
        <v>5.8494298299033742E-2</v>
      </c>
      <c r="M57" s="8" t="s">
        <v>53</v>
      </c>
      <c r="N57" s="57">
        <f t="shared" ref="N57:O57" si="36">SUM(N53:N56)</f>
        <v>0</v>
      </c>
      <c r="O57" s="57">
        <f t="shared" si="36"/>
        <v>0</v>
      </c>
      <c r="Q57" s="59">
        <f>IFERROR((O57-N57)/N57,0)</f>
        <v>0</v>
      </c>
      <c r="S57" s="57">
        <f t="shared" ref="S57:T57" si="37">SUM(S53:S56)</f>
        <v>0</v>
      </c>
      <c r="T57" s="57">
        <f t="shared" si="37"/>
        <v>0</v>
      </c>
      <c r="V57" s="59">
        <f>IFERROR((T57-S57)/S57,0)</f>
        <v>0</v>
      </c>
      <c r="X57" s="8" t="s">
        <v>89</v>
      </c>
      <c r="Y57" s="57">
        <f>SUM(Y53:Y56)</f>
        <v>0</v>
      </c>
      <c r="Z57" s="57">
        <f>SUM(Z53:Z56)</f>
        <v>0</v>
      </c>
      <c r="AB57" s="59">
        <f>IFERROR((Z57-Y57)/Y57,0)</f>
        <v>0</v>
      </c>
      <c r="AD57" s="57">
        <f>SUM(AD53:AD56)</f>
        <v>0</v>
      </c>
      <c r="AE57" s="57">
        <f>SUM(AE53:AE56)</f>
        <v>0</v>
      </c>
      <c r="AG57" s="59">
        <f>IFERROR(((AE57/Y57)^(1/3))-1,0)</f>
        <v>0</v>
      </c>
      <c r="AI57" s="8" t="s">
        <v>89</v>
      </c>
      <c r="AJ57" s="57">
        <f>SUM(AJ53:AJ56)</f>
        <v>54823.324753004992</v>
      </c>
      <c r="AK57" s="57">
        <f>SUM(AK53:AK56)</f>
        <v>58199.299767312383</v>
      </c>
      <c r="AM57" s="59">
        <f>IFERROR((AK57-AJ57)/AJ57,0)</f>
        <v>6.1579173271908247E-2</v>
      </c>
      <c r="AO57" s="57">
        <f>SUM(AO53:AO56)</f>
        <v>61339.536833803606</v>
      </c>
      <c r="AP57" s="57">
        <f>SUM(AP53:AP56)</f>
        <v>65017.600655315269</v>
      </c>
      <c r="AR57" s="59">
        <f t="shared" ref="AR57" si="38">((AP57/AJ57)^(1/3))-1</f>
        <v>5.8494298299033742E-2</v>
      </c>
    </row>
    <row r="58" spans="2:44" ht="15.75" customHeight="1" thickTop="1" x14ac:dyDescent="0.4">
      <c r="B58" s="12"/>
      <c r="M58" s="12"/>
      <c r="X58" s="12"/>
      <c r="AI58" s="12"/>
    </row>
    <row r="59" spans="2:44" ht="15.75" customHeight="1" x14ac:dyDescent="0.4">
      <c r="B59" s="85"/>
      <c r="J59" s="86"/>
      <c r="L59" s="86"/>
      <c r="M59" s="85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3"/>
      <c r="AH59" s="86"/>
      <c r="AI59" s="83" t="s">
        <v>90</v>
      </c>
    </row>
    <row r="60" spans="2:44" ht="15.75" customHeight="1" x14ac:dyDescent="0.4">
      <c r="B60" s="84"/>
      <c r="M60" s="84"/>
      <c r="X60" s="84"/>
      <c r="AI60" s="84"/>
    </row>
    <row r="61" spans="2:44" x14ac:dyDescent="0.3">
      <c r="B61" s="39" t="s">
        <v>47</v>
      </c>
      <c r="C61" s="301">
        <f>[8]Summary!$L$17</f>
        <v>2.3720694280559979E-2</v>
      </c>
      <c r="D61" s="301">
        <f>[8]Summary!$P$17</f>
        <v>2.3558008175345549E-2</v>
      </c>
      <c r="E61" s="295"/>
      <c r="F61" s="296"/>
      <c r="G61" s="295"/>
      <c r="H61" s="301">
        <f>[8]Summary!$T$17</f>
        <v>2.3954858076292624E-2</v>
      </c>
      <c r="I61" s="301">
        <f>[8]Summary!$X$17</f>
        <v>2.4568528484693829E-2</v>
      </c>
      <c r="M61" s="39" t="s">
        <v>47</v>
      </c>
      <c r="N61" s="23" t="s">
        <v>45</v>
      </c>
      <c r="O61" s="23" t="s">
        <v>45</v>
      </c>
      <c r="P61" s="24"/>
      <c r="Q61" s="25"/>
      <c r="R61" s="24"/>
      <c r="S61" s="23" t="s">
        <v>45</v>
      </c>
      <c r="T61" s="23" t="s">
        <v>45</v>
      </c>
      <c r="V61" s="25"/>
      <c r="X61" s="39" t="s">
        <v>109</v>
      </c>
      <c r="Y61" s="128"/>
      <c r="Z61" s="128"/>
      <c r="AA61" s="24"/>
      <c r="AB61" s="25"/>
      <c r="AC61" s="24"/>
      <c r="AD61" s="128"/>
      <c r="AE61" s="128"/>
      <c r="AI61" s="39" t="s">
        <v>109</v>
      </c>
      <c r="AJ61" s="128">
        <f>[8]Summary!$L$17</f>
        <v>2.3720694280559979E-2</v>
      </c>
      <c r="AK61" s="128">
        <f>[8]Summary!$P$17</f>
        <v>2.3558008175345549E-2</v>
      </c>
      <c r="AL61" s="24"/>
      <c r="AM61" s="25"/>
      <c r="AN61" s="24"/>
      <c r="AO61" s="128">
        <f>[8]Summary!$T$17</f>
        <v>2.3954858076292624E-2</v>
      </c>
      <c r="AP61" s="128">
        <f>[8]Summary!$X$17</f>
        <v>2.4568528484693829E-2</v>
      </c>
    </row>
    <row r="62" spans="2:44" ht="15.75" customHeight="1" thickBot="1" x14ac:dyDescent="0.35">
      <c r="B62" s="46"/>
      <c r="M62" s="46"/>
      <c r="X62" s="129"/>
      <c r="AI62" s="129" t="s">
        <v>110</v>
      </c>
    </row>
    <row r="63" spans="2:44" ht="24.75" customHeight="1" thickTop="1" thickBot="1" x14ac:dyDescent="0.35">
      <c r="B63" s="8" t="s">
        <v>54</v>
      </c>
      <c r="C63" s="16"/>
      <c r="D63" s="16"/>
      <c r="F63" s="59">
        <f>IFERROR((D63-C63)/C63,0)</f>
        <v>0</v>
      </c>
      <c r="H63" s="16"/>
      <c r="I63" s="16"/>
      <c r="K63" s="59">
        <f>IFERROR(((I63/C63)^(1/3))-1,0)</f>
        <v>0</v>
      </c>
      <c r="M63" s="8" t="s">
        <v>54</v>
      </c>
      <c r="N63" s="16"/>
      <c r="O63" s="16"/>
      <c r="Q63" s="59">
        <f>IFERROR((O63-N63)/N63,0)</f>
        <v>0</v>
      </c>
      <c r="S63" s="16"/>
      <c r="T63" s="16"/>
      <c r="V63" s="59">
        <f>IFERROR((T63-S63)/S63,0)</f>
        <v>0</v>
      </c>
      <c r="X63" s="8" t="s">
        <v>54</v>
      </c>
      <c r="Y63" s="16">
        <v>0</v>
      </c>
      <c r="Z63" s="16">
        <v>0</v>
      </c>
      <c r="AB63" s="59">
        <f>IFERROR((Z63-Y63)/Y63,0)</f>
        <v>0</v>
      </c>
      <c r="AD63" s="16">
        <v>0</v>
      </c>
      <c r="AE63" s="16">
        <v>0</v>
      </c>
      <c r="AG63" s="59">
        <f>IFERROR(((AE63/Y63)^(1/3))-1,0)</f>
        <v>0</v>
      </c>
      <c r="AI63" s="8" t="s">
        <v>54</v>
      </c>
      <c r="AJ63" s="16">
        <v>0</v>
      </c>
      <c r="AK63" s="16">
        <v>0</v>
      </c>
      <c r="AM63" s="59">
        <f>IFERROR((AK63-AJ63)/AJ63,0)</f>
        <v>0</v>
      </c>
      <c r="AO63" s="16">
        <v>0</v>
      </c>
      <c r="AP63" s="16">
        <v>0</v>
      </c>
      <c r="AR63" s="59">
        <f>IFERROR(((AP63/AJ63)^(1/3))-1,0)</f>
        <v>0</v>
      </c>
    </row>
    <row r="64" spans="2:44" ht="15.75" customHeight="1" thickTop="1" thickBot="1" x14ac:dyDescent="0.35">
      <c r="B64" s="47"/>
      <c r="M64" s="47"/>
      <c r="X64" s="47"/>
      <c r="AI64" s="47"/>
    </row>
    <row r="65" spans="2:44" ht="24.75" customHeight="1" thickTop="1" thickBot="1" x14ac:dyDescent="0.35">
      <c r="B65" s="8" t="s">
        <v>55</v>
      </c>
      <c r="C65" s="57">
        <f>C57+C63</f>
        <v>54823.324753004992</v>
      </c>
      <c r="D65" s="57">
        <f>D57+D63</f>
        <v>58199.299767312383</v>
      </c>
      <c r="F65" s="59">
        <f>IFERROR((D65-C65)/C65,0)</f>
        <v>6.1579173271908247E-2</v>
      </c>
      <c r="H65" s="57">
        <f>H57+H63</f>
        <v>61339.536833803606</v>
      </c>
      <c r="I65" s="57">
        <f>I57+I63</f>
        <v>65017.600655315269</v>
      </c>
      <c r="K65" s="59">
        <f t="shared" ref="K65" si="39">((I65/C65)^(1/3))-1</f>
        <v>5.8494298299033742E-2</v>
      </c>
      <c r="M65" s="8" t="s">
        <v>55</v>
      </c>
      <c r="N65" s="16">
        <f>N57+N63</f>
        <v>0</v>
      </c>
      <c r="O65" s="16">
        <f>O57+O63</f>
        <v>0</v>
      </c>
      <c r="Q65" s="59">
        <f>IFERROR((O65-N65)/N65,0)</f>
        <v>0</v>
      </c>
      <c r="S65" s="16">
        <f>S57+S63</f>
        <v>0</v>
      </c>
      <c r="T65" s="16">
        <f>T57+T63</f>
        <v>0</v>
      </c>
      <c r="V65" s="59">
        <f>IFERROR((T65-S65)/S65,0)</f>
        <v>0</v>
      </c>
      <c r="X65" s="8" t="s">
        <v>55</v>
      </c>
      <c r="Y65" s="57">
        <f>Y57+Y63</f>
        <v>0</v>
      </c>
      <c r="Z65" s="57">
        <f>Z57+Z63</f>
        <v>0</v>
      </c>
      <c r="AB65" s="59">
        <f>IFERROR((Z65-Y65)/Y65,0)</f>
        <v>0</v>
      </c>
      <c r="AD65" s="57">
        <f>AD57+AD63</f>
        <v>0</v>
      </c>
      <c r="AE65" s="57">
        <f>AE57+AE63</f>
        <v>0</v>
      </c>
      <c r="AG65" s="59">
        <f>IFERROR(((AE65/Y65)^(1/3))-1,0)</f>
        <v>0</v>
      </c>
      <c r="AI65" s="8" t="s">
        <v>55</v>
      </c>
      <c r="AJ65" s="57">
        <f>AJ57+AJ63</f>
        <v>54823.324753004992</v>
      </c>
      <c r="AK65" s="57">
        <f>AK57+AK63</f>
        <v>58199.299767312383</v>
      </c>
      <c r="AM65" s="59">
        <f>IFERROR((AK65-AJ65)/AJ65,0)</f>
        <v>6.1579173271908247E-2</v>
      </c>
      <c r="AO65" s="57">
        <f>AO57+AO63</f>
        <v>61339.536833803606</v>
      </c>
      <c r="AP65" s="57">
        <f>AP57+AP63</f>
        <v>65017.600655315269</v>
      </c>
      <c r="AR65" s="59">
        <f t="shared" ref="AR65" si="40">((AP65/AJ65)^(1/3))-1</f>
        <v>5.8494298299033742E-2</v>
      </c>
    </row>
    <row r="66" spans="2:44" ht="15" thickTop="1" x14ac:dyDescent="0.3"/>
    <row r="67" spans="2:44" x14ac:dyDescent="0.3">
      <c r="X67" s="144"/>
      <c r="Y67" s="75"/>
      <c r="Z67" s="75"/>
      <c r="AA67" s="75"/>
      <c r="AB67" s="75"/>
      <c r="AC67" s="75"/>
      <c r="AD67" s="75"/>
      <c r="AE67" s="75"/>
      <c r="AI67" s="73" t="s">
        <v>80</v>
      </c>
      <c r="AJ67" s="68"/>
      <c r="AK67" s="68"/>
      <c r="AL67" s="68"/>
      <c r="AM67" s="68"/>
      <c r="AN67" s="68"/>
      <c r="AO67" s="68"/>
      <c r="AP67" s="68"/>
    </row>
    <row r="68" spans="2:44" x14ac:dyDescent="0.3">
      <c r="X68" s="144"/>
      <c r="Y68" s="145"/>
      <c r="Z68" s="145"/>
      <c r="AA68" s="75"/>
      <c r="AB68" s="75"/>
      <c r="AC68" s="75"/>
      <c r="AD68" s="145"/>
      <c r="AE68" s="145"/>
      <c r="AI68" s="73" t="s">
        <v>91</v>
      </c>
      <c r="AJ68" s="74">
        <f>-SUM('[5]AN01010201:AC'!$AN$116:$AN$125)/1000</f>
        <v>54823.324753004999</v>
      </c>
      <c r="AK68" s="74">
        <f>-SUM('[5]AN01010201:AC'!$AO$116:$AO$125)/1000</f>
        <v>58199.299767312397</v>
      </c>
      <c r="AL68" s="68"/>
      <c r="AM68" s="68"/>
      <c r="AN68" s="68"/>
      <c r="AO68" s="74">
        <f>-SUM('[5]AN01010201:AC'!$AP$116:$AP$125)/1000</f>
        <v>61339.536833803642</v>
      </c>
      <c r="AP68" s="74">
        <f>-SUM('[5]AN01010201:AC'!$AQ$116:$AQ$125)/1000</f>
        <v>65017.600655315284</v>
      </c>
    </row>
    <row r="70" spans="2:44" x14ac:dyDescent="0.3">
      <c r="B70" s="13" t="s">
        <v>52</v>
      </c>
      <c r="C70" s="131">
        <f>C24</f>
        <v>88495.980754770266</v>
      </c>
      <c r="D70" s="131">
        <f>D24</f>
        <v>91743.068133547058</v>
      </c>
      <c r="E70" s="132"/>
      <c r="F70" s="132"/>
      <c r="G70" s="132"/>
      <c r="H70" s="131">
        <f>H24</f>
        <v>98632.298933919985</v>
      </c>
      <c r="I70" s="131">
        <f>I24</f>
        <v>104100.09543004933</v>
      </c>
      <c r="M70" s="13" t="s">
        <v>52</v>
      </c>
      <c r="N70" s="131">
        <f>N24</f>
        <v>33452.456241148786</v>
      </c>
      <c r="O70" s="131">
        <f>O24</f>
        <v>32545.366201080207</v>
      </c>
      <c r="P70" s="132"/>
      <c r="Q70" s="132"/>
      <c r="R70" s="132"/>
      <c r="S70" s="131">
        <f>S24</f>
        <v>33444.850138173511</v>
      </c>
      <c r="T70" s="131">
        <f>T24</f>
        <v>34194.695863941655</v>
      </c>
      <c r="X70" s="13" t="s">
        <v>52</v>
      </c>
      <c r="Y70" s="131">
        <f>Y24</f>
        <v>300</v>
      </c>
      <c r="Z70" s="131">
        <f>Z24</f>
        <v>1300</v>
      </c>
      <c r="AA70" s="132"/>
      <c r="AB70" s="132"/>
      <c r="AC70" s="132"/>
      <c r="AD70" s="131">
        <f>AD24</f>
        <v>3300</v>
      </c>
      <c r="AE70" s="131">
        <f>AE24</f>
        <v>3300</v>
      </c>
      <c r="AI70" s="13" t="s">
        <v>52</v>
      </c>
      <c r="AJ70" s="131">
        <f>AJ24</f>
        <v>54743.52451362148</v>
      </c>
      <c r="AK70" s="131">
        <f>AK24</f>
        <v>57897.701932466844</v>
      </c>
      <c r="AL70" s="132"/>
      <c r="AM70" s="132"/>
      <c r="AN70" s="132"/>
      <c r="AO70" s="131">
        <f>AO24</f>
        <v>61887.448795746466</v>
      </c>
      <c r="AP70" s="131">
        <f>AP24</f>
        <v>66605.399566107662</v>
      </c>
    </row>
    <row r="71" spans="2:44" x14ac:dyDescent="0.3">
      <c r="B71" s="13" t="s">
        <v>56</v>
      </c>
      <c r="C71" s="133">
        <f>C57</f>
        <v>54823.324753004992</v>
      </c>
      <c r="D71" s="133">
        <f>D57</f>
        <v>58199.299767312383</v>
      </c>
      <c r="E71" s="132"/>
      <c r="F71" s="132"/>
      <c r="G71" s="132"/>
      <c r="H71" s="133">
        <f>H57</f>
        <v>61339.536833803606</v>
      </c>
      <c r="I71" s="133">
        <f>I57</f>
        <v>65017.600655315269</v>
      </c>
      <c r="M71" s="13" t="s">
        <v>56</v>
      </c>
      <c r="N71" s="133">
        <f>N57</f>
        <v>0</v>
      </c>
      <c r="O71" s="133">
        <f>O57</f>
        <v>0</v>
      </c>
      <c r="P71" s="132"/>
      <c r="Q71" s="132"/>
      <c r="R71" s="132"/>
      <c r="S71" s="133">
        <f>S57</f>
        <v>0</v>
      </c>
      <c r="T71" s="133">
        <f>T57</f>
        <v>0</v>
      </c>
      <c r="X71" s="13" t="s">
        <v>56</v>
      </c>
      <c r="Y71" s="133">
        <f>Y57</f>
        <v>0</v>
      </c>
      <c r="Z71" s="133">
        <f>Z57</f>
        <v>0</v>
      </c>
      <c r="AA71" s="132"/>
      <c r="AB71" s="132"/>
      <c r="AC71" s="132"/>
      <c r="AD71" s="133">
        <f>AD57</f>
        <v>0</v>
      </c>
      <c r="AE71" s="133">
        <f>AE57</f>
        <v>0</v>
      </c>
      <c r="AI71" s="13" t="s">
        <v>56</v>
      </c>
      <c r="AJ71" s="133">
        <f>AJ57</f>
        <v>54823.324753004992</v>
      </c>
      <c r="AK71" s="133">
        <f>AK57</f>
        <v>58199.299767312383</v>
      </c>
      <c r="AL71" s="132"/>
      <c r="AM71" s="132"/>
      <c r="AN71" s="132"/>
      <c r="AO71" s="133">
        <f>AO57</f>
        <v>61339.536833803606</v>
      </c>
      <c r="AP71" s="133">
        <f>AP57</f>
        <v>65017.600655315269</v>
      </c>
    </row>
    <row r="72" spans="2:44" x14ac:dyDescent="0.3">
      <c r="B72" s="14" t="s">
        <v>57</v>
      </c>
      <c r="C72" s="134">
        <f>IFERROR(C70/C71,0)</f>
        <v>1.6142030997476051</v>
      </c>
      <c r="D72" s="134">
        <f>IFERROR(D70/D71,0)</f>
        <v>1.576360342827948</v>
      </c>
      <c r="E72" s="132"/>
      <c r="F72" s="132"/>
      <c r="G72" s="132"/>
      <c r="H72" s="134">
        <f>IFERROR(H70/H71,0)</f>
        <v>1.6079726718700085</v>
      </c>
      <c r="I72" s="134">
        <f>IFERROR(I70/I71,0)</f>
        <v>1.6011063832073142</v>
      </c>
      <c r="M72" s="14" t="s">
        <v>57</v>
      </c>
      <c r="N72" s="134">
        <f>IFERROR(N70/N71,0)</f>
        <v>0</v>
      </c>
      <c r="O72" s="134">
        <f>IFERROR(O70/O71,0)</f>
        <v>0</v>
      </c>
      <c r="P72" s="132"/>
      <c r="Q72" s="132"/>
      <c r="R72" s="132"/>
      <c r="S72" s="134">
        <f>IFERROR(S70/S71,0)</f>
        <v>0</v>
      </c>
      <c r="T72" s="134">
        <f>IFERROR(T70/T71,0)</f>
        <v>0</v>
      </c>
      <c r="X72" s="14" t="s">
        <v>57</v>
      </c>
      <c r="Y72" s="134">
        <f>IFERROR(Y70/Y71,0)</f>
        <v>0</v>
      </c>
      <c r="Z72" s="134">
        <f>IFERROR(Z70/Z71,0)</f>
        <v>0</v>
      </c>
      <c r="AA72" s="132"/>
      <c r="AB72" s="132"/>
      <c r="AC72" s="132"/>
      <c r="AD72" s="134">
        <f>IFERROR(AD70/AD71,0)</f>
        <v>0</v>
      </c>
      <c r="AE72" s="134">
        <f>IFERROR(AE70/AE71,0)</f>
        <v>0</v>
      </c>
      <c r="AI72" s="14" t="s">
        <v>57</v>
      </c>
      <c r="AJ72" s="134">
        <f>IFERROR(AJ70/AJ71,0)</f>
        <v>0.99854441080063938</v>
      </c>
      <c r="AK72" s="134">
        <f>IFERROR(AK70/AK71,0)</f>
        <v>0.99481784426872211</v>
      </c>
      <c r="AL72" s="132"/>
      <c r="AM72" s="132"/>
      <c r="AN72" s="132"/>
      <c r="AO72" s="134">
        <f>IFERROR(AO70/AO71,0)</f>
        <v>1.0089324437422376</v>
      </c>
      <c r="AP72" s="134">
        <f>IFERROR(AP70/AP71,0)</f>
        <v>1.0244210628320469</v>
      </c>
    </row>
    <row r="73" spans="2:44" x14ac:dyDescent="0.3">
      <c r="B73" s="13" t="s">
        <v>102</v>
      </c>
      <c r="C73" s="135"/>
      <c r="D73" s="135"/>
      <c r="E73" s="132"/>
      <c r="F73" s="132"/>
      <c r="G73" s="132"/>
      <c r="H73" s="135"/>
      <c r="I73" s="135"/>
      <c r="M73" s="13" t="s">
        <v>102</v>
      </c>
      <c r="N73" s="135"/>
      <c r="O73" s="135"/>
      <c r="P73" s="132"/>
      <c r="Q73" s="132"/>
      <c r="R73" s="132"/>
      <c r="S73" s="135"/>
      <c r="T73" s="135"/>
      <c r="X73" s="13" t="s">
        <v>102</v>
      </c>
      <c r="Y73" s="135"/>
      <c r="Z73" s="135"/>
      <c r="AA73" s="132"/>
      <c r="AB73" s="132"/>
      <c r="AC73" s="132"/>
      <c r="AD73" s="135"/>
      <c r="AE73" s="135"/>
      <c r="AI73" s="13" t="s">
        <v>102</v>
      </c>
      <c r="AJ73" s="135"/>
      <c r="AK73" s="135"/>
      <c r="AL73" s="132"/>
      <c r="AM73" s="132"/>
      <c r="AN73" s="132"/>
      <c r="AO73" s="135"/>
      <c r="AP73" s="135"/>
    </row>
    <row r="74" spans="2:44" x14ac:dyDescent="0.3">
      <c r="B74" s="13" t="s">
        <v>102</v>
      </c>
      <c r="C74" s="135"/>
      <c r="D74" s="135"/>
      <c r="E74" s="132"/>
      <c r="F74" s="132"/>
      <c r="G74" s="132"/>
      <c r="H74" s="135"/>
      <c r="I74" s="135"/>
      <c r="M74" s="13" t="s">
        <v>102</v>
      </c>
      <c r="N74" s="135"/>
      <c r="O74" s="135"/>
      <c r="P74" s="132"/>
      <c r="Q74" s="132"/>
      <c r="R74" s="132"/>
      <c r="S74" s="135"/>
      <c r="T74" s="135"/>
      <c r="X74" s="13" t="s">
        <v>102</v>
      </c>
      <c r="Y74" s="135"/>
      <c r="Z74" s="135"/>
      <c r="AA74" s="132"/>
      <c r="AB74" s="132"/>
      <c r="AC74" s="132"/>
      <c r="AD74" s="135"/>
      <c r="AE74" s="135"/>
      <c r="AI74" s="13" t="s">
        <v>102</v>
      </c>
      <c r="AJ74" s="135"/>
      <c r="AK74" s="135"/>
      <c r="AL74" s="132"/>
      <c r="AM74" s="132"/>
      <c r="AN74" s="132"/>
      <c r="AO74" s="135"/>
      <c r="AP74" s="135"/>
    </row>
    <row r="75" spans="2:44" x14ac:dyDescent="0.3">
      <c r="B75" s="14" t="s">
        <v>58</v>
      </c>
      <c r="C75" s="134">
        <f>IFERROR(C73/C74,0)</f>
        <v>0</v>
      </c>
      <c r="D75" s="134">
        <f>IFERROR(D73/D74,0)</f>
        <v>0</v>
      </c>
      <c r="E75" s="132"/>
      <c r="F75" s="132"/>
      <c r="G75" s="132"/>
      <c r="H75" s="134">
        <f>IFERROR(H73/H74,0)</f>
        <v>0</v>
      </c>
      <c r="I75" s="134">
        <f>IFERROR(I73/I74,0)</f>
        <v>0</v>
      </c>
      <c r="M75" s="14" t="s">
        <v>58</v>
      </c>
      <c r="N75" s="134">
        <f>IFERROR(N73/N74,0)</f>
        <v>0</v>
      </c>
      <c r="O75" s="134">
        <f>IFERROR(O73/O74,0)</f>
        <v>0</v>
      </c>
      <c r="P75" s="132"/>
      <c r="Q75" s="132"/>
      <c r="R75" s="132"/>
      <c r="S75" s="134">
        <f>IFERROR(S73/S74,0)</f>
        <v>0</v>
      </c>
      <c r="T75" s="134">
        <f>IFERROR(T73/T74,0)</f>
        <v>0</v>
      </c>
      <c r="X75" s="14" t="s">
        <v>58</v>
      </c>
      <c r="Y75" s="134">
        <f>IFERROR(Y73/Y74,0)</f>
        <v>0</v>
      </c>
      <c r="Z75" s="134">
        <f>IFERROR(Z73/Z74,0)</f>
        <v>0</v>
      </c>
      <c r="AA75" s="132"/>
      <c r="AB75" s="132"/>
      <c r="AC75" s="132"/>
      <c r="AD75" s="134">
        <f>IFERROR(AD73/AD74,0)</f>
        <v>0</v>
      </c>
      <c r="AE75" s="134">
        <f>IFERROR(AE73/AE74,0)</f>
        <v>0</v>
      </c>
      <c r="AI75" s="14" t="s">
        <v>58</v>
      </c>
      <c r="AJ75" s="134">
        <f>IFERROR(AJ73/AJ74,0)</f>
        <v>0</v>
      </c>
      <c r="AK75" s="134">
        <f>IFERROR(AK73/AK74,0)</f>
        <v>0</v>
      </c>
      <c r="AL75" s="132"/>
      <c r="AM75" s="132"/>
      <c r="AN75" s="132"/>
      <c r="AO75" s="134">
        <f>IFERROR(AO73/AO74,0)</f>
        <v>0</v>
      </c>
      <c r="AP75" s="134">
        <f>IFERROR(AP73/AP74,0)</f>
        <v>0</v>
      </c>
    </row>
    <row r="76" spans="2:44" x14ac:dyDescent="0.3">
      <c r="B76" s="13" t="s">
        <v>102</v>
      </c>
      <c r="C76" s="135"/>
      <c r="D76" s="135"/>
      <c r="E76" s="132"/>
      <c r="F76" s="132"/>
      <c r="G76" s="132"/>
      <c r="H76" s="135"/>
      <c r="I76" s="135"/>
      <c r="M76" s="13" t="s">
        <v>102</v>
      </c>
      <c r="N76" s="135"/>
      <c r="O76" s="135"/>
      <c r="P76" s="132"/>
      <c r="Q76" s="132"/>
      <c r="R76" s="132"/>
      <c r="S76" s="135"/>
      <c r="T76" s="135"/>
      <c r="X76" s="13" t="s">
        <v>102</v>
      </c>
      <c r="Y76" s="135"/>
      <c r="Z76" s="135"/>
      <c r="AA76" s="132"/>
      <c r="AB76" s="132"/>
      <c r="AC76" s="132"/>
      <c r="AD76" s="135"/>
      <c r="AE76" s="135"/>
      <c r="AI76" s="13" t="s">
        <v>102</v>
      </c>
      <c r="AJ76" s="135"/>
      <c r="AK76" s="135"/>
      <c r="AL76" s="132"/>
      <c r="AM76" s="132"/>
      <c r="AN76" s="132"/>
      <c r="AO76" s="135"/>
      <c r="AP76" s="135"/>
    </row>
    <row r="77" spans="2:44" x14ac:dyDescent="0.3">
      <c r="B77" s="13" t="s">
        <v>102</v>
      </c>
      <c r="C77" s="135"/>
      <c r="D77" s="135"/>
      <c r="E77" s="132"/>
      <c r="F77" s="132"/>
      <c r="G77" s="132"/>
      <c r="H77" s="135"/>
      <c r="I77" s="135"/>
      <c r="M77" s="13" t="s">
        <v>102</v>
      </c>
      <c r="N77" s="135"/>
      <c r="O77" s="135"/>
      <c r="P77" s="132"/>
      <c r="Q77" s="132"/>
      <c r="R77" s="132"/>
      <c r="S77" s="135"/>
      <c r="T77" s="135"/>
      <c r="X77" s="13" t="s">
        <v>102</v>
      </c>
      <c r="Y77" s="135"/>
      <c r="Z77" s="135"/>
      <c r="AA77" s="132"/>
      <c r="AB77" s="132"/>
      <c r="AC77" s="132"/>
      <c r="AD77" s="135"/>
      <c r="AE77" s="135"/>
      <c r="AI77" s="13" t="s">
        <v>102</v>
      </c>
      <c r="AJ77" s="135"/>
      <c r="AK77" s="135"/>
      <c r="AL77" s="132"/>
      <c r="AM77" s="132"/>
      <c r="AN77" s="132"/>
      <c r="AO77" s="135"/>
      <c r="AP77" s="135"/>
    </row>
    <row r="78" spans="2:44" x14ac:dyDescent="0.3">
      <c r="B78" s="14" t="s">
        <v>59</v>
      </c>
      <c r="C78" s="134">
        <f>IFERROR(C76/C77,0)</f>
        <v>0</v>
      </c>
      <c r="D78" s="134">
        <f>IFERROR(D76/D77,0)</f>
        <v>0</v>
      </c>
      <c r="E78" s="132"/>
      <c r="F78" s="132"/>
      <c r="G78" s="132"/>
      <c r="H78" s="134">
        <f>IFERROR(H76/H77,0)</f>
        <v>0</v>
      </c>
      <c r="I78" s="134">
        <f>IFERROR(I76/I77,0)</f>
        <v>0</v>
      </c>
      <c r="M78" s="14" t="s">
        <v>59</v>
      </c>
      <c r="N78" s="134">
        <f>IFERROR(N76/N77,0)</f>
        <v>0</v>
      </c>
      <c r="O78" s="134">
        <f>IFERROR(O76/O77,0)</f>
        <v>0</v>
      </c>
      <c r="P78" s="132"/>
      <c r="Q78" s="132"/>
      <c r="R78" s="132"/>
      <c r="S78" s="134">
        <f>IFERROR(S76/S77,0)</f>
        <v>0</v>
      </c>
      <c r="T78" s="134">
        <f>IFERROR(T76/T77,0)</f>
        <v>0</v>
      </c>
      <c r="X78" s="14" t="s">
        <v>59</v>
      </c>
      <c r="Y78" s="134">
        <f>IFERROR(Y76/Y77,0)</f>
        <v>0</v>
      </c>
      <c r="Z78" s="134">
        <f>IFERROR(Z76/Z77,0)</f>
        <v>0</v>
      </c>
      <c r="AA78" s="132"/>
      <c r="AB78" s="132"/>
      <c r="AC78" s="132"/>
      <c r="AD78" s="134">
        <f>IFERROR(AD76/AD77,0)</f>
        <v>0</v>
      </c>
      <c r="AE78" s="134">
        <f>IFERROR(AE76/AE77,0)</f>
        <v>0</v>
      </c>
      <c r="AI78" s="14" t="s">
        <v>59</v>
      </c>
      <c r="AJ78" s="134">
        <f>IFERROR(AJ76/AJ77,0)</f>
        <v>0</v>
      </c>
      <c r="AK78" s="134">
        <f>IFERROR(AK76/AK77,0)</f>
        <v>0</v>
      </c>
      <c r="AL78" s="132"/>
      <c r="AM78" s="132"/>
      <c r="AN78" s="132"/>
      <c r="AO78" s="134">
        <f>IFERROR(AO76/AO77,0)</f>
        <v>0</v>
      </c>
      <c r="AP78" s="134">
        <f>IFERROR(AP76/AP77,0)</f>
        <v>0</v>
      </c>
    </row>
  </sheetData>
  <mergeCells count="8">
    <mergeCell ref="B5:K5"/>
    <mergeCell ref="M5:V5"/>
    <mergeCell ref="AI5:AR5"/>
    <mergeCell ref="B49:K49"/>
    <mergeCell ref="M49:V49"/>
    <mergeCell ref="AI49:AR49"/>
    <mergeCell ref="X5:AG5"/>
    <mergeCell ref="X49:AG4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BC26"/>
  <sheetViews>
    <sheetView tabSelected="1" topLeftCell="H1" workbookViewId="0">
      <selection activeCell="O17" sqref="O17"/>
    </sheetView>
  </sheetViews>
  <sheetFormatPr defaultRowHeight="14.4" x14ac:dyDescent="0.3"/>
  <cols>
    <col min="2" max="2" width="23" customWidth="1"/>
    <col min="5" max="5" width="2.109375" customWidth="1"/>
    <col min="7" max="7" width="2.109375" customWidth="1"/>
    <col min="8" max="9" width="14.44140625" bestFit="1" customWidth="1"/>
    <col min="10" max="10" width="2.109375" customWidth="1"/>
    <col min="13" max="13" width="23" customWidth="1"/>
    <col min="16" max="16" width="2.109375" customWidth="1"/>
    <col min="18" max="18" width="2.109375" customWidth="1"/>
    <col min="21" max="21" width="2.109375" customWidth="1"/>
    <col min="24" max="24" width="23" customWidth="1"/>
    <col min="25" max="25" width="12.109375" bestFit="1" customWidth="1"/>
    <col min="26" max="26" width="12.33203125" bestFit="1" customWidth="1"/>
    <col min="27" max="27" width="2.109375" customWidth="1"/>
    <col min="29" max="29" width="2.109375" customWidth="1"/>
    <col min="30" max="31" width="11" bestFit="1" customWidth="1"/>
    <col min="32" max="32" width="2.109375" customWidth="1"/>
    <col min="35" max="35" width="23" customWidth="1"/>
    <col min="36" max="36" width="12.33203125" bestFit="1" customWidth="1"/>
    <col min="37" max="37" width="9.6640625" bestFit="1" customWidth="1"/>
    <col min="38" max="38" width="2.109375" customWidth="1"/>
    <col min="40" max="40" width="2.109375" customWidth="1"/>
    <col min="41" max="42" width="9.6640625" bestFit="1" customWidth="1"/>
    <col min="43" max="43" width="2.109375" customWidth="1"/>
    <col min="46" max="46" width="23" customWidth="1"/>
    <col min="47" max="48" width="10" customWidth="1"/>
    <col min="49" max="49" width="2.109375" customWidth="1"/>
    <col min="51" max="51" width="2.109375" customWidth="1"/>
    <col min="52" max="53" width="10" customWidth="1"/>
    <col min="54" max="54" width="2.109375" customWidth="1"/>
  </cols>
  <sheetData>
    <row r="2" spans="2:55" ht="15" x14ac:dyDescent="0.25">
      <c r="B2" s="5" t="s">
        <v>31</v>
      </c>
    </row>
    <row r="3" spans="2:55" ht="15" x14ac:dyDescent="0.25">
      <c r="B3" s="5" t="s">
        <v>32</v>
      </c>
    </row>
    <row r="5" spans="2:55" ht="18.75" x14ac:dyDescent="0.3">
      <c r="B5" s="216" t="s">
        <v>0</v>
      </c>
      <c r="C5" s="216"/>
      <c r="D5" s="216"/>
      <c r="E5" s="216"/>
      <c r="F5" s="216"/>
      <c r="G5" s="216"/>
      <c r="H5" s="216"/>
      <c r="I5" s="216"/>
      <c r="J5" s="216"/>
      <c r="K5" s="216"/>
      <c r="M5" s="217" t="s">
        <v>1</v>
      </c>
      <c r="N5" s="217"/>
      <c r="O5" s="217"/>
      <c r="P5" s="217"/>
      <c r="Q5" s="217"/>
      <c r="R5" s="217"/>
      <c r="S5" s="217"/>
      <c r="T5" s="217"/>
      <c r="U5" s="217"/>
      <c r="V5" s="217"/>
      <c r="X5" s="217" t="s">
        <v>33</v>
      </c>
      <c r="Y5" s="217"/>
      <c r="Z5" s="217"/>
      <c r="AA5" s="217"/>
      <c r="AB5" s="217"/>
      <c r="AC5" s="217"/>
      <c r="AD5" s="217"/>
      <c r="AE5" s="217"/>
      <c r="AF5" s="217"/>
      <c r="AG5" s="217"/>
      <c r="AI5" s="217" t="s">
        <v>34</v>
      </c>
      <c r="AJ5" s="217"/>
      <c r="AK5" s="217"/>
      <c r="AL5" s="217"/>
      <c r="AM5" s="217"/>
      <c r="AN5" s="217"/>
      <c r="AO5" s="217"/>
      <c r="AP5" s="217"/>
      <c r="AQ5" s="217"/>
      <c r="AR5" s="217"/>
      <c r="AT5" s="217" t="s">
        <v>35</v>
      </c>
      <c r="AU5" s="217"/>
      <c r="AV5" s="217"/>
      <c r="AW5" s="217"/>
      <c r="AX5" s="217"/>
      <c r="AY5" s="217"/>
      <c r="AZ5" s="217"/>
      <c r="BA5" s="217"/>
      <c r="BB5" s="217"/>
      <c r="BC5" s="217"/>
    </row>
    <row r="7" spans="2:55" ht="15.75" thickBot="1" x14ac:dyDescent="0.3">
      <c r="B7" s="300">
        <f>N10+Y10</f>
        <v>92421.456645239392</v>
      </c>
    </row>
    <row r="8" spans="2:55" ht="28.8" thickTop="1" thickBot="1" x14ac:dyDescent="0.35">
      <c r="C8" s="1" t="s">
        <v>2</v>
      </c>
      <c r="D8" s="1" t="s">
        <v>3</v>
      </c>
      <c r="E8" s="2"/>
      <c r="F8" s="3" t="s">
        <v>4</v>
      </c>
      <c r="G8" s="4"/>
      <c r="H8" s="1" t="s">
        <v>5</v>
      </c>
      <c r="I8" s="1" t="s">
        <v>6</v>
      </c>
      <c r="J8" s="2"/>
      <c r="K8" s="3" t="s">
        <v>7</v>
      </c>
      <c r="N8" s="1" t="s">
        <v>2</v>
      </c>
      <c r="O8" s="1" t="s">
        <v>3</v>
      </c>
      <c r="P8" s="2"/>
      <c r="Q8" s="3" t="s">
        <v>4</v>
      </c>
      <c r="R8" s="4"/>
      <c r="S8" s="1" t="s">
        <v>5</v>
      </c>
      <c r="T8" s="1" t="s">
        <v>6</v>
      </c>
      <c r="U8" s="2"/>
      <c r="V8" s="3" t="s">
        <v>7</v>
      </c>
      <c r="Y8" s="1" t="s">
        <v>2</v>
      </c>
      <c r="Z8" s="1" t="s">
        <v>3</v>
      </c>
      <c r="AA8" s="2"/>
      <c r="AB8" s="3" t="s">
        <v>4</v>
      </c>
      <c r="AC8" s="4"/>
      <c r="AD8" s="1" t="s">
        <v>5</v>
      </c>
      <c r="AE8" s="1" t="s">
        <v>6</v>
      </c>
      <c r="AF8" s="2"/>
      <c r="AG8" s="3" t="s">
        <v>7</v>
      </c>
      <c r="AJ8" s="1" t="s">
        <v>2</v>
      </c>
      <c r="AK8" s="1" t="s">
        <v>3</v>
      </c>
      <c r="AL8" s="2"/>
      <c r="AM8" s="3" t="s">
        <v>4</v>
      </c>
      <c r="AN8" s="4"/>
      <c r="AO8" s="1" t="s">
        <v>5</v>
      </c>
      <c r="AP8" s="1" t="s">
        <v>6</v>
      </c>
      <c r="AQ8" s="2"/>
      <c r="AR8" s="3" t="s">
        <v>7</v>
      </c>
      <c r="AU8" s="1" t="s">
        <v>2</v>
      </c>
      <c r="AV8" s="1" t="s">
        <v>3</v>
      </c>
      <c r="AW8" s="2"/>
      <c r="AX8" s="3" t="s">
        <v>4</v>
      </c>
      <c r="AY8" s="4"/>
      <c r="AZ8" s="1" t="s">
        <v>5</v>
      </c>
      <c r="BA8" s="1" t="s">
        <v>6</v>
      </c>
      <c r="BB8" s="2"/>
      <c r="BC8" s="3" t="s">
        <v>7</v>
      </c>
    </row>
    <row r="9" spans="2:55" ht="15.75" customHeight="1" thickTop="1" x14ac:dyDescent="0.3">
      <c r="B9" s="44" t="s">
        <v>60</v>
      </c>
      <c r="C9" s="121">
        <f>N9+Y9</f>
        <v>125018.58488582363</v>
      </c>
      <c r="D9" s="121">
        <f>O9+Z9</f>
        <v>128488.78351263331</v>
      </c>
      <c r="F9" s="60">
        <f>IFERROR((D9-C9)/C9,0)</f>
        <v>2.775746206037228E-2</v>
      </c>
      <c r="H9" s="121">
        <f>S9+AD9</f>
        <v>134756.80975092825</v>
      </c>
      <c r="I9" s="121">
        <f>T9+AE9</f>
        <v>139556.65312564949</v>
      </c>
      <c r="K9" s="60">
        <f>IFERROR(((I9/C9)^(1/3))-1,1)</f>
        <v>3.7350026281805837E-2</v>
      </c>
      <c r="M9" s="44" t="s">
        <v>60</v>
      </c>
      <c r="N9" s="257">
        <v>37318.85821386148</v>
      </c>
      <c r="O9" s="257">
        <v>36580.731715981077</v>
      </c>
      <c r="P9" s="255"/>
      <c r="Q9" s="259">
        <v>-1.9778914286456863E-2</v>
      </c>
      <c r="R9" s="255"/>
      <c r="S9" s="257">
        <v>37494.265263799709</v>
      </c>
      <c r="T9" s="257">
        <v>38231.657085913335</v>
      </c>
      <c r="U9" s="255"/>
      <c r="V9" s="259">
        <v>8.0875660637875768E-3</v>
      </c>
      <c r="X9" s="44" t="s">
        <v>60</v>
      </c>
      <c r="Y9" s="58">
        <f>(SUM('[5]AN01010201:AC'!$AN$10:$AN$108)/1000)</f>
        <v>87699.726671962155</v>
      </c>
      <c r="Z9" s="58">
        <f>SUM('[5]AN01010201:AC'!$AO$10:$AO$108)/1000</f>
        <v>91908.051796652231</v>
      </c>
      <c r="AB9" s="60">
        <f>IFERROR((Z9-Y9)/Y9,0)</f>
        <v>4.79856127765503E-2</v>
      </c>
      <c r="AD9" s="58">
        <f>SUM('[5]AN01010201:AC'!$AP$10:$AP$108)/1000</f>
        <v>97262.544487128529</v>
      </c>
      <c r="AE9" s="58">
        <f>SUM('[5]AN01010201:AC'!$AQ$10:$AQ$108)/1000</f>
        <v>101324.99603973616</v>
      </c>
      <c r="AG9" s="60">
        <f>IFERROR(((AE9/Y9)^(1/3))-1,1)</f>
        <v>4.9315573524120415E-2</v>
      </c>
      <c r="AI9" s="44" t="s">
        <v>60</v>
      </c>
      <c r="AJ9" s="58">
        <f>'[9]Holdco Olivia'!$G$134</f>
        <v>1376.0465176791995</v>
      </c>
      <c r="AK9" s="58">
        <f>'[9]Holdco Olivia'!$H$134</f>
        <v>5056.7345339879021</v>
      </c>
      <c r="AM9" s="60">
        <f>IFERROR((AK9-AJ9)/AJ9,0)</f>
        <v>2.6748281900501776</v>
      </c>
      <c r="AO9" s="58">
        <f>'[9]Holdco Olivia'!$I$134</f>
        <v>7899.657989690957</v>
      </c>
      <c r="AP9" s="58">
        <f>'[9]Holdco Olivia'!$J$134</f>
        <v>8209.9546155667995</v>
      </c>
      <c r="AR9" s="60">
        <f>IFERROR(((AP9/AJ9)^(1/3))-1,1)</f>
        <v>0.81371570500942414</v>
      </c>
      <c r="AT9" s="44" t="s">
        <v>60</v>
      </c>
      <c r="AU9" s="58">
        <f>Y9-AJ9</f>
        <v>86323.680154282949</v>
      </c>
      <c r="AV9" s="58">
        <f>Z9-AK9</f>
        <v>86851.317262664335</v>
      </c>
      <c r="AX9" s="60">
        <f>IFERROR((AV9-AU9)/AU9,0)</f>
        <v>6.1123101730412932E-3</v>
      </c>
      <c r="AZ9" s="58">
        <f>AD9-AO9</f>
        <v>89362.886497437576</v>
      </c>
      <c r="BA9" s="58">
        <f>AE9-AP9</f>
        <v>93115.041424169351</v>
      </c>
      <c r="BC9" s="60">
        <f>IFERROR(((BA9/AU9)^(1/3))-1,1)</f>
        <v>2.5565252510748149E-2</v>
      </c>
    </row>
    <row r="10" spans="2:55" ht="15.75" customHeight="1" thickBot="1" x14ac:dyDescent="0.35">
      <c r="B10" s="45" t="s">
        <v>61</v>
      </c>
      <c r="C10" s="121">
        <f>N10+Y10</f>
        <v>92421.456645239392</v>
      </c>
      <c r="D10" s="121">
        <f>O10+Z10</f>
        <v>96040.730252314592</v>
      </c>
      <c r="F10" s="60">
        <f>IFERROR((D10-C10)/C10,0)</f>
        <v>3.9160534127565365E-2</v>
      </c>
      <c r="H10" s="121">
        <f>S10+AD10</f>
        <v>103124.28738241472</v>
      </c>
      <c r="I10" s="121">
        <f>T10+AE10</f>
        <v>108652.88335228487</v>
      </c>
      <c r="K10" s="60">
        <f t="shared" ref="K10:K19" si="0">IFERROR(((I10/C10)^(1/3))-1,1)</f>
        <v>5.5413914451451385E-2</v>
      </c>
      <c r="M10" s="45" t="s">
        <v>61</v>
      </c>
      <c r="N10" s="257">
        <f>Volumes!N22</f>
        <v>36724.423144436012</v>
      </c>
      <c r="O10" s="257">
        <f>Volumes!O22</f>
        <v>36154.662223310268</v>
      </c>
      <c r="P10" s="255"/>
      <c r="Q10" s="259">
        <v>-2.7115797821530049E-2</v>
      </c>
      <c r="R10" s="255"/>
      <c r="S10" s="257">
        <f>Volumes!S22</f>
        <v>37206.047311604096</v>
      </c>
      <c r="T10" s="257">
        <f>Volumes!T22</f>
        <v>37966.48758337873</v>
      </c>
      <c r="U10" s="255"/>
      <c r="V10" s="259">
        <v>7.341929512352019E-3</v>
      </c>
      <c r="X10" s="45" t="s">
        <v>61</v>
      </c>
      <c r="Y10" s="121">
        <f>AJ10+AU10</f>
        <v>55697.03350080338</v>
      </c>
      <c r="Z10" s="121">
        <f>AK10+AV10</f>
        <v>59886.068029004324</v>
      </c>
      <c r="AB10" s="60">
        <f>IFERROR((Z10-Y10)/Y10,0)</f>
        <v>7.5211088722355754E-2</v>
      </c>
      <c r="AD10" s="121">
        <f>AO10+AZ10</f>
        <v>65918.240070810629</v>
      </c>
      <c r="AE10" s="121">
        <f>AP10+BA10</f>
        <v>70686.395768906135</v>
      </c>
      <c r="AG10" s="60">
        <f t="shared" ref="AG10:AG19" si="1">IFERROR(((AE10/Y10)^(1/3))-1,1)</f>
        <v>8.2682850688331033E-2</v>
      </c>
      <c r="AI10" s="45" t="s">
        <v>105</v>
      </c>
      <c r="AJ10" s="121">
        <f>Volumes!Y20</f>
        <v>300</v>
      </c>
      <c r="AK10" s="121">
        <f>Volumes!Z20</f>
        <v>1300</v>
      </c>
      <c r="AM10" s="60">
        <f>IFERROR((AK10-AJ10)/AJ10,0)</f>
        <v>3.3333333333333335</v>
      </c>
      <c r="AO10" s="121">
        <f>Volumes!AD20</f>
        <v>3300</v>
      </c>
      <c r="AP10" s="121">
        <f>Volumes!AE20</f>
        <v>3300</v>
      </c>
      <c r="AQ10" s="121"/>
      <c r="AR10" s="60">
        <f t="shared" ref="AR10:AR19" si="2">IFERROR(((AP10/AJ10)^(1/3))-1,1)</f>
        <v>1.2239800905693157</v>
      </c>
      <c r="AT10" s="45" t="s">
        <v>61</v>
      </c>
      <c r="AU10" s="58">
        <f>SUM('[5]AN01010201:AC'!$AN$16:$AN$58)/1000-AJ10</f>
        <v>55397.03350080338</v>
      </c>
      <c r="AV10" s="58">
        <f>SUM('[5]AN01010201:AC'!$AO$16:$AO$58)/1000-AK10</f>
        <v>58586.068029004324</v>
      </c>
      <c r="AX10" s="60">
        <f>IFERROR((AV10-AU10)/AU10,0)</f>
        <v>5.7566882677114753E-2</v>
      </c>
      <c r="AZ10" s="58">
        <f>SUM('[5]AN01010201:AC'!$AP$16:$AP$58)/1000-AO10</f>
        <v>62618.240070810629</v>
      </c>
      <c r="BA10" s="58">
        <f>SUM('[5]AN01010201:AC'!$AQ$16:$AQ$58)/1000-AP10</f>
        <v>67386.395768906135</v>
      </c>
      <c r="BC10" s="60">
        <f t="shared" ref="BC10:BC19" si="3">IFERROR(((BA10/AU10)^(1/3))-1,1)</f>
        <v>6.7485307952466433E-2</v>
      </c>
    </row>
    <row r="11" spans="2:55" ht="16.8" thickTop="1" thickBot="1" x14ac:dyDescent="0.35">
      <c r="B11" s="32" t="s">
        <v>48</v>
      </c>
      <c r="C11" s="57">
        <f>C12+C13+C14</f>
        <v>89966.126724348564</v>
      </c>
      <c r="D11" s="57">
        <f>D12+D13+D14</f>
        <v>95926.189581732848</v>
      </c>
      <c r="F11" s="59">
        <f t="shared" ref="F11:F23" si="4">IFERROR((D11-C11)/C11,0)</f>
        <v>6.6247854324612637E-2</v>
      </c>
      <c r="H11" s="57">
        <f>H12+H13+H14</f>
        <v>100750.34168226724</v>
      </c>
      <c r="I11" s="57">
        <f>I12+I13+I14</f>
        <v>106176.2597177538</v>
      </c>
      <c r="K11" s="59">
        <f>IFERROR(((I11/C11)^(1/3))-1,1)</f>
        <v>5.6775654510097695E-2</v>
      </c>
      <c r="M11" s="32" t="s">
        <v>120</v>
      </c>
      <c r="N11" s="256">
        <v>35298.273621057822</v>
      </c>
      <c r="O11" s="256">
        <v>36546.880254631411</v>
      </c>
      <c r="P11" s="255"/>
      <c r="Q11" s="258">
        <v>3.5373022685979458E-2</v>
      </c>
      <c r="R11" s="255"/>
      <c r="S11" s="256">
        <v>37961.744287403344</v>
      </c>
      <c r="T11" s="256">
        <v>38632.766712718396</v>
      </c>
      <c r="U11" s="255"/>
      <c r="V11" s="258">
        <v>3.0546158528702572E-2</v>
      </c>
      <c r="X11" s="32" t="s">
        <v>48</v>
      </c>
      <c r="Y11" s="57">
        <f>Y12+Y13+Y14</f>
        <v>54667.853103290734</v>
      </c>
      <c r="Z11" s="57">
        <f>Z12+Z13+Z14</f>
        <v>59379.309327101451</v>
      </c>
      <c r="AB11" s="59">
        <f t="shared" ref="AB11:AB23" si="5">IFERROR((Z11-Y11)/Y11,0)</f>
        <v>8.6183304380158865E-2</v>
      </c>
      <c r="AD11" s="57">
        <f>AD12+AD13+AD14</f>
        <v>62788.5973948639</v>
      </c>
      <c r="AE11" s="57">
        <f>AE12+AE13+AE14</f>
        <v>67543.493005035416</v>
      </c>
      <c r="AG11" s="59">
        <f t="shared" si="1"/>
        <v>7.3043099062300998E-2</v>
      </c>
      <c r="AI11" s="32" t="s">
        <v>48</v>
      </c>
      <c r="AJ11" s="16">
        <f>AJ12+AJ13+AJ14</f>
        <v>114</v>
      </c>
      <c r="AK11" s="16">
        <f>AK12+AK13+AK14</f>
        <v>114</v>
      </c>
      <c r="AM11" s="59">
        <f t="shared" ref="AM11:AM23" si="6">IFERROR((AK11-AJ11)/AJ11,0)</f>
        <v>0</v>
      </c>
      <c r="AO11" s="16">
        <f>AO12+AO13+AO14</f>
        <v>114</v>
      </c>
      <c r="AP11" s="16">
        <f>AP12+AP13+AP14</f>
        <v>114</v>
      </c>
      <c r="AR11" s="59">
        <f t="shared" si="2"/>
        <v>0</v>
      </c>
      <c r="AT11" s="32" t="s">
        <v>48</v>
      </c>
      <c r="AU11" s="57">
        <f>AU12+AU13+AU14</f>
        <v>54553.853103290734</v>
      </c>
      <c r="AV11" s="57">
        <f>AV12+AV13+AV14</f>
        <v>59265.309327101451</v>
      </c>
      <c r="AX11" s="59">
        <f t="shared" ref="AX11:AX23" si="7">IFERROR((AV11-AU11)/AU11,0)</f>
        <v>8.6363399756387113E-2</v>
      </c>
      <c r="AZ11" s="57">
        <f>AZ12+AZ13+AZ14</f>
        <v>62674.5973948639</v>
      </c>
      <c r="BA11" s="57">
        <f>BA12+BA13+BA14</f>
        <v>67429.493005035416</v>
      </c>
      <c r="BC11" s="59">
        <f t="shared" si="3"/>
        <v>7.3185562355763789E-2</v>
      </c>
    </row>
    <row r="12" spans="2:55" ht="15.75" customHeight="1" thickTop="1" x14ac:dyDescent="0.3">
      <c r="B12" s="48" t="s">
        <v>62</v>
      </c>
      <c r="C12" s="121">
        <f t="shared" ref="C12:D14" si="8">N12+Y12</f>
        <v>77641.229515496612</v>
      </c>
      <c r="D12" s="121">
        <f t="shared" si="8"/>
        <v>81545.168032484697</v>
      </c>
      <c r="F12" s="60">
        <f>IFERROR((D12-C12)/C12,0)</f>
        <v>5.028177092699037E-2</v>
      </c>
      <c r="H12" s="121">
        <f t="shared" ref="H12:I14" si="9">S12+AD12</f>
        <v>85595.015193651168</v>
      </c>
      <c r="I12" s="121">
        <f t="shared" si="9"/>
        <v>90829.106847940653</v>
      </c>
      <c r="K12" s="60">
        <f t="shared" si="0"/>
        <v>5.3685199511960269E-2</v>
      </c>
      <c r="M12" s="48" t="s">
        <v>62</v>
      </c>
      <c r="N12" s="257">
        <v>28012.832526719601</v>
      </c>
      <c r="O12" s="257">
        <v>27061.564274922861</v>
      </c>
      <c r="P12" s="255"/>
      <c r="Q12" s="260">
        <v>-3.3958302891697517E-2</v>
      </c>
      <c r="R12" s="255"/>
      <c r="S12" s="257">
        <v>27829.051980057575</v>
      </c>
      <c r="T12" s="257">
        <v>28314.659160213363</v>
      </c>
      <c r="U12" s="255"/>
      <c r="V12" s="259">
        <v>3.5787057819036683E-3</v>
      </c>
      <c r="X12" s="48" t="s">
        <v>62</v>
      </c>
      <c r="Y12" s="58">
        <f>AJ12+AU12</f>
        <v>49628.396988777007</v>
      </c>
      <c r="Z12" s="58">
        <f t="shared" ref="Z12:Z14" si="10">AK12+AV12</f>
        <v>54483.603757561839</v>
      </c>
      <c r="AB12" s="63">
        <f t="shared" si="5"/>
        <v>9.7831222916242716E-2</v>
      </c>
      <c r="AD12" s="58">
        <f t="shared" ref="AD12:AD14" si="11">AO12+AZ12</f>
        <v>57765.96321359359</v>
      </c>
      <c r="AE12" s="58">
        <f t="shared" ref="AE12:AE14" si="12">AP12+BA12</f>
        <v>62514.447687727297</v>
      </c>
      <c r="AG12" s="60">
        <f t="shared" si="1"/>
        <v>7.99824968643148E-2</v>
      </c>
      <c r="AI12" s="48" t="s">
        <v>62</v>
      </c>
      <c r="AJ12" s="72">
        <f>[10]Capital_HoldCo!$E$18</f>
        <v>114</v>
      </c>
      <c r="AK12" s="72">
        <f>AJ12</f>
        <v>114</v>
      </c>
      <c r="AM12" s="63">
        <f t="shared" si="6"/>
        <v>0</v>
      </c>
      <c r="AO12" s="72">
        <f>AK12</f>
        <v>114</v>
      </c>
      <c r="AP12" s="72">
        <f>AO12</f>
        <v>114</v>
      </c>
      <c r="AR12" s="60">
        <f t="shared" si="2"/>
        <v>0</v>
      </c>
      <c r="AT12" s="48" t="s">
        <v>62</v>
      </c>
      <c r="AU12" s="58">
        <f>'[11]TOTAL COUNT'!$AA$817/1000000</f>
        <v>49514.396988777007</v>
      </c>
      <c r="AV12" s="58">
        <f>'[7]TOTAL COUNT'!$AM$817/1000000</f>
        <v>54369.603757561839</v>
      </c>
      <c r="AX12" s="63">
        <f t="shared" si="7"/>
        <v>9.8056465675737087E-2</v>
      </c>
      <c r="AZ12" s="58">
        <f>'[7]TOTAL COUNT'!$AY$817/1000000</f>
        <v>57651.96321359359</v>
      </c>
      <c r="BA12" s="58">
        <f>'[7]TOTAL COUNT'!$BK$817/1000000</f>
        <v>62400.447687727297</v>
      </c>
      <c r="BC12" s="60">
        <f t="shared" si="3"/>
        <v>8.0153317198058405E-2</v>
      </c>
    </row>
    <row r="13" spans="2:55" ht="15" customHeight="1" x14ac:dyDescent="0.3">
      <c r="B13" s="49" t="s">
        <v>63</v>
      </c>
      <c r="C13" s="121">
        <f t="shared" si="8"/>
        <v>405.83094749999998</v>
      </c>
      <c r="D13" s="121">
        <f t="shared" si="8"/>
        <v>234.08555050878857</v>
      </c>
      <c r="F13" s="60">
        <f>IFERROR((D13-C13)/C13,0)</f>
        <v>-0.42319443120145839</v>
      </c>
      <c r="H13" s="121">
        <f t="shared" si="9"/>
        <v>240.09016356758255</v>
      </c>
      <c r="I13" s="121">
        <f t="shared" si="9"/>
        <v>247.39438593780889</v>
      </c>
      <c r="K13" s="60">
        <f t="shared" si="0"/>
        <v>-0.1520929895202362</v>
      </c>
      <c r="M13" s="49" t="s">
        <v>63</v>
      </c>
      <c r="N13" s="257">
        <v>26.41676125</v>
      </c>
      <c r="O13" s="257">
        <v>26.41676125</v>
      </c>
      <c r="P13" s="255"/>
      <c r="Q13" s="260">
        <v>0</v>
      </c>
      <c r="R13" s="255"/>
      <c r="S13" s="257">
        <v>26.41676125</v>
      </c>
      <c r="T13" s="257">
        <v>26.41676125</v>
      </c>
      <c r="U13" s="255"/>
      <c r="V13" s="259">
        <v>0</v>
      </c>
      <c r="X13" s="49" t="s">
        <v>63</v>
      </c>
      <c r="Y13" s="58">
        <f>AJ13+AU13</f>
        <v>379.41418625</v>
      </c>
      <c r="Z13" s="58">
        <f t="shared" si="10"/>
        <v>207.66878925878856</v>
      </c>
      <c r="AB13" s="63">
        <f t="shared" si="5"/>
        <v>-0.45265939760630508</v>
      </c>
      <c r="AD13" s="58">
        <f t="shared" si="11"/>
        <v>213.67340231758254</v>
      </c>
      <c r="AE13" s="58">
        <f t="shared" si="12"/>
        <v>220.97762468780888</v>
      </c>
      <c r="AG13" s="60">
        <f t="shared" si="1"/>
        <v>-0.16488763902921999</v>
      </c>
      <c r="AI13" s="49" t="s">
        <v>63</v>
      </c>
      <c r="AJ13">
        <v>0</v>
      </c>
      <c r="AK13" s="72">
        <f>AJ13</f>
        <v>0</v>
      </c>
      <c r="AM13" s="63">
        <f t="shared" si="6"/>
        <v>0</v>
      </c>
      <c r="AO13" s="72">
        <f>AK13</f>
        <v>0</v>
      </c>
      <c r="AP13" s="72">
        <f>AO13</f>
        <v>0</v>
      </c>
      <c r="AR13" s="60">
        <f t="shared" si="2"/>
        <v>1</v>
      </c>
      <c r="AT13" s="49" t="s">
        <v>63</v>
      </c>
      <c r="AU13" s="58">
        <f>'[11]TOTAL COUNT'!$AA$818/1000000</f>
        <v>379.41418625</v>
      </c>
      <c r="AV13" s="58">
        <f>'[7]TOTAL COUNT'!$AM$818/1000000</f>
        <v>207.66878925878856</v>
      </c>
      <c r="AX13" s="63">
        <f t="shared" si="7"/>
        <v>-0.45265939760630508</v>
      </c>
      <c r="AZ13" s="58">
        <f>'[7]TOTAL COUNT'!$AY$818/1000000</f>
        <v>213.67340231758254</v>
      </c>
      <c r="BA13" s="58">
        <f>'[7]TOTAL COUNT'!$BK$818/1000000</f>
        <v>220.97762468780888</v>
      </c>
      <c r="BC13" s="60">
        <f t="shared" si="3"/>
        <v>-0.16488763902921999</v>
      </c>
    </row>
    <row r="14" spans="2:55" ht="15" customHeight="1" x14ac:dyDescent="0.3">
      <c r="B14" s="49" t="s">
        <v>64</v>
      </c>
      <c r="C14" s="121">
        <f t="shared" si="8"/>
        <v>11919.066261351953</v>
      </c>
      <c r="D14" s="121">
        <f t="shared" si="8"/>
        <v>14146.935998739373</v>
      </c>
      <c r="F14" s="60">
        <f>IFERROR((D14-C14)/C14,0)</f>
        <v>0.18691646547946264</v>
      </c>
      <c r="H14" s="121">
        <f t="shared" si="9"/>
        <v>14915.236325048498</v>
      </c>
      <c r="I14" s="121">
        <f t="shared" si="9"/>
        <v>15099.758483875346</v>
      </c>
      <c r="K14" s="60">
        <f t="shared" si="0"/>
        <v>8.2038189209318935E-2</v>
      </c>
      <c r="M14" s="49" t="s">
        <v>64</v>
      </c>
      <c r="N14" s="257">
        <v>7259.0243330882204</v>
      </c>
      <c r="O14" s="257">
        <v>9458.8992184585513</v>
      </c>
      <c r="P14" s="255"/>
      <c r="Q14" s="260">
        <v>0.30305379682264189</v>
      </c>
      <c r="R14" s="255"/>
      <c r="S14" s="257">
        <v>10106.275546095772</v>
      </c>
      <c r="T14" s="257">
        <v>10291.690791255038</v>
      </c>
      <c r="U14" s="255"/>
      <c r="V14" s="259">
        <v>0.12340449982306234</v>
      </c>
      <c r="X14" s="49" t="s">
        <v>64</v>
      </c>
      <c r="Y14" s="58">
        <f>AJ14+AU14</f>
        <v>4660.0419282637322</v>
      </c>
      <c r="Z14" s="58">
        <f t="shared" si="10"/>
        <v>4688.0367802808223</v>
      </c>
      <c r="AB14" s="63">
        <f t="shared" si="5"/>
        <v>6.0074249219299672E-3</v>
      </c>
      <c r="AD14" s="58">
        <f t="shared" si="11"/>
        <v>4808.9607789527254</v>
      </c>
      <c r="AE14" s="58">
        <f t="shared" si="12"/>
        <v>4808.0676926203078</v>
      </c>
      <c r="AG14" s="60">
        <f t="shared" si="1"/>
        <v>1.0478125314930198E-2</v>
      </c>
      <c r="AI14" s="49" t="s">
        <v>64</v>
      </c>
      <c r="AJ14">
        <v>0</v>
      </c>
      <c r="AK14" s="72">
        <f>AJ14</f>
        <v>0</v>
      </c>
      <c r="AM14" s="63">
        <f t="shared" si="6"/>
        <v>0</v>
      </c>
      <c r="AO14" s="72">
        <f>AK14</f>
        <v>0</v>
      </c>
      <c r="AP14" s="72">
        <f>AO14</f>
        <v>0</v>
      </c>
      <c r="AR14" s="60">
        <f t="shared" si="2"/>
        <v>1</v>
      </c>
      <c r="AT14" s="49" t="s">
        <v>64</v>
      </c>
      <c r="AU14" s="58">
        <f>'[11]TOTAL COUNT'!$AA$819/1000000</f>
        <v>4660.0419282637322</v>
      </c>
      <c r="AV14" s="58">
        <f>'[7]TOTAL COUNT'!$AM$819/1000000</f>
        <v>4688.0367802808223</v>
      </c>
      <c r="AX14" s="63">
        <f t="shared" si="7"/>
        <v>6.0074249219299672E-3</v>
      </c>
      <c r="AZ14" s="58">
        <f>'[7]TOTAL COUNT'!$AY$819/1000000</f>
        <v>4808.9607789527254</v>
      </c>
      <c r="BA14" s="58">
        <f>'[7]TOTAL COUNT'!$BK$819/1000000</f>
        <v>4808.0676926203078</v>
      </c>
      <c r="BC14" s="60">
        <f t="shared" si="3"/>
        <v>1.0478125314930198E-2</v>
      </c>
    </row>
    <row r="15" spans="2:55" ht="15.75" customHeight="1" thickBot="1" x14ac:dyDescent="0.35">
      <c r="B15" s="50"/>
      <c r="M15" s="50"/>
      <c r="N15" s="255"/>
      <c r="O15" s="255"/>
      <c r="P15" s="255"/>
      <c r="Q15" s="255"/>
      <c r="R15" s="255"/>
      <c r="S15" s="255"/>
      <c r="T15" s="255"/>
      <c r="U15" s="255"/>
      <c r="V15" s="255"/>
      <c r="X15" s="50"/>
      <c r="AI15" s="50"/>
      <c r="AT15" s="50"/>
    </row>
    <row r="16" spans="2:55" ht="16.8" thickTop="1" thickBot="1" x14ac:dyDescent="0.35">
      <c r="B16" s="32" t="s">
        <v>23</v>
      </c>
      <c r="C16" s="89">
        <f>'P&amp;L'!C23/'Capital Plan'!C11</f>
        <v>1.1287705400279719E-2</v>
      </c>
      <c r="D16" s="89">
        <f>'P&amp;L'!D23/'Capital Plan'!D11</f>
        <v>7.0708713965811397E-3</v>
      </c>
      <c r="F16" s="59">
        <f t="shared" si="4"/>
        <v>-0.37357760981200683</v>
      </c>
      <c r="H16" s="89">
        <f>'P&amp;L'!H23/'Capital Plan'!H11</f>
        <v>8.7744430484734924E-3</v>
      </c>
      <c r="I16" s="89">
        <f>'P&amp;L'!I23/'Capital Plan'!I11</f>
        <v>1.1208840241391559E-2</v>
      </c>
      <c r="K16" s="59">
        <f t="shared" si="0"/>
        <v>-2.334384907165421E-3</v>
      </c>
      <c r="M16" s="32" t="s">
        <v>23</v>
      </c>
      <c r="N16" s="261">
        <v>2.5849314681104411E-2</v>
      </c>
      <c r="O16" s="261">
        <v>2.1327336108736154E-2</v>
      </c>
      <c r="P16" s="255"/>
      <c r="Q16" s="258">
        <v>-0.17493611061471495</v>
      </c>
      <c r="R16" s="255"/>
      <c r="S16" s="261">
        <v>2.229414258370789E-2</v>
      </c>
      <c r="T16" s="261">
        <v>2.5878465042247563E-2</v>
      </c>
      <c r="U16" s="255"/>
      <c r="V16" s="258">
        <v>3.7575993417071629E-4</v>
      </c>
      <c r="X16" s="32" t="s">
        <v>23</v>
      </c>
      <c r="Y16" s="166">
        <f>'P&amp;L'!Y23/'Capital Plan'!Y11</f>
        <v>1.8854764928023962E-3</v>
      </c>
      <c r="Z16" s="166">
        <f>'P&amp;L'!Z23/'Capital Plan'!Z11</f>
        <v>-1.7037222218680697E-3</v>
      </c>
      <c r="AB16" s="59">
        <f t="shared" si="5"/>
        <v>-1.9036030034698637</v>
      </c>
      <c r="AD16" s="166">
        <f>'P&amp;L'!AD23/'Capital Plan'!AD11</f>
        <v>6.0048475200934399E-4</v>
      </c>
      <c r="AE16" s="166">
        <f>'P&amp;L'!AE23/'Capital Plan'!AE11</f>
        <v>2.8182734009658209E-3</v>
      </c>
      <c r="AG16" s="59">
        <f t="shared" si="1"/>
        <v>0.14337142238857492</v>
      </c>
      <c r="AI16" s="32" t="s">
        <v>23</v>
      </c>
      <c r="AJ16" s="89">
        <f>'P&amp;L'!AJ23/'Capital Plan'!AJ11</f>
        <v>-2.7524414947692724</v>
      </c>
      <c r="AK16" s="89">
        <f>'P&amp;L'!AK23/'Capital Plan'!AK11</f>
        <v>-2.9023992649753292</v>
      </c>
      <c r="AM16" s="59">
        <f t="shared" si="6"/>
        <v>5.4481728491245288E-2</v>
      </c>
      <c r="AO16" s="89">
        <f>'P&amp;L'!AO23/'Capital Plan'!AO11</f>
        <v>-2.7296234258031835</v>
      </c>
      <c r="AP16" s="89">
        <f>'P&amp;L'!AP23/'Capital Plan'!AP11</f>
        <v>-2.824922808882413</v>
      </c>
      <c r="AR16" s="59">
        <f t="shared" si="2"/>
        <v>8.7018784086954071E-3</v>
      </c>
      <c r="AT16" s="32" t="s">
        <v>23</v>
      </c>
      <c r="AU16" s="89">
        <f>'P&amp;L'!BQ23/'Capital Plan'!AU11</f>
        <v>7.6411336437165692E-3</v>
      </c>
      <c r="AV16" s="89">
        <f>'P&amp;L'!BR23/'Capital Plan'!AV11</f>
        <v>3.8759211753980273E-3</v>
      </c>
      <c r="AX16" s="59">
        <f t="shared" si="7"/>
        <v>-0.49275574068969968</v>
      </c>
      <c r="AZ16" s="89">
        <f>'P&amp;L'!BV23/'Capital Plan'!AZ11</f>
        <v>5.5665401993603035E-3</v>
      </c>
      <c r="BA16" s="89">
        <f>'P&amp;L'!BW23/'Capital Plan'!BA11</f>
        <v>7.599007602188906E-3</v>
      </c>
      <c r="BC16" s="59">
        <f t="shared" si="3"/>
        <v>-1.841074722057523E-3</v>
      </c>
    </row>
    <row r="17" spans="2:55" ht="16.5" customHeight="1" thickTop="1" thickBot="1" x14ac:dyDescent="0.35">
      <c r="B17" s="51"/>
      <c r="M17" s="51"/>
      <c r="N17" s="255"/>
      <c r="O17" s="255"/>
      <c r="P17" s="255"/>
      <c r="Q17" s="255"/>
      <c r="R17" s="255"/>
      <c r="S17" s="255"/>
      <c r="T17" s="255"/>
      <c r="U17" s="255"/>
      <c r="V17" s="255"/>
      <c r="X17" s="51"/>
      <c r="AI17" s="51"/>
      <c r="AT17" s="51"/>
    </row>
    <row r="18" spans="2:55" ht="17.25" customHeight="1" thickTop="1" thickBot="1" x14ac:dyDescent="0.35">
      <c r="B18" s="32" t="s">
        <v>20</v>
      </c>
      <c r="C18" s="57">
        <f>N18+Y18</f>
        <v>1015.5111344686799</v>
      </c>
      <c r="D18" s="57">
        <f>O18+Z18</f>
        <v>678.28175009649613</v>
      </c>
      <c r="F18" s="59">
        <f>IFERROR((D18-C18)/C18,0)</f>
        <v>-0.33207847056115608</v>
      </c>
      <c r="H18" s="57">
        <f>S18+AD18</f>
        <v>884.02813520529821</v>
      </c>
      <c r="I18" s="57">
        <f>T18+AE18</f>
        <v>1190.1127326048008</v>
      </c>
      <c r="K18" s="59">
        <f t="shared" si="0"/>
        <v>5.4308733371949192E-2</v>
      </c>
      <c r="M18" s="32" t="s">
        <v>20</v>
      </c>
      <c r="N18" s="256">
        <v>912.43618253045054</v>
      </c>
      <c r="O18" s="256">
        <v>779.44759891625688</v>
      </c>
      <c r="P18" s="255"/>
      <c r="Q18" s="258">
        <v>-0.14575110693810683</v>
      </c>
      <c r="R18" s="255"/>
      <c r="S18" s="256">
        <v>846.32453986962867</v>
      </c>
      <c r="T18" s="256">
        <v>999.75670286038826</v>
      </c>
      <c r="U18" s="255"/>
      <c r="V18" s="258">
        <v>3.0933396485391285E-2</v>
      </c>
      <c r="X18" s="32" t="s">
        <v>20</v>
      </c>
      <c r="Y18" s="127">
        <f>AJ18+AU18</f>
        <v>103.07495193822933</v>
      </c>
      <c r="Z18" s="127">
        <f>AK18+AV18</f>
        <v>-101.16584881976081</v>
      </c>
      <c r="AB18" s="59">
        <f t="shared" si="5"/>
        <v>-1.9814784961567327</v>
      </c>
      <c r="AD18" s="127">
        <f>AO18+AZ18</f>
        <v>37.703595335669547</v>
      </c>
      <c r="AE18" s="127">
        <f>AP18+BA18</f>
        <v>190.35602974441269</v>
      </c>
      <c r="AG18" s="59">
        <f t="shared" si="1"/>
        <v>0.22688681445910808</v>
      </c>
      <c r="AI18" s="32" t="s">
        <v>20</v>
      </c>
      <c r="AJ18" s="57">
        <f>'P&amp;L'!AJ23</f>
        <v>-313.77833040369705</v>
      </c>
      <c r="AK18" s="57">
        <f>'P&amp;L'!AK23</f>
        <v>-330.87351620718755</v>
      </c>
      <c r="AM18" s="59">
        <f t="shared" si="6"/>
        <v>5.4481728491245336E-2</v>
      </c>
      <c r="AO18" s="57">
        <f>'P&amp;L'!AO23</f>
        <v>-311.1770705415629</v>
      </c>
      <c r="AP18" s="57">
        <f>'P&amp;L'!AP23</f>
        <v>-322.04120021259507</v>
      </c>
      <c r="AR18" s="59">
        <f t="shared" si="2"/>
        <v>8.7018784086954071E-3</v>
      </c>
      <c r="AT18" s="32" t="s">
        <v>20</v>
      </c>
      <c r="AU18" s="57">
        <f>'P&amp;L'!BQ23</f>
        <v>416.85328234192639</v>
      </c>
      <c r="AV18" s="57">
        <f>'P&amp;L'!BR23</f>
        <v>229.70766738742674</v>
      </c>
      <c r="AX18" s="59">
        <f t="shared" si="7"/>
        <v>-0.44894840194875169</v>
      </c>
      <c r="AZ18" s="57">
        <f>'P&amp;L'!BV23</f>
        <v>348.88066587723245</v>
      </c>
      <c r="BA18" s="57">
        <f>'P&amp;L'!BW23</f>
        <v>512.39722995700777</v>
      </c>
      <c r="BC18" s="59">
        <f t="shared" si="3"/>
        <v>7.1209747544833446E-2</v>
      </c>
    </row>
    <row r="19" spans="2:55" ht="15.75" customHeight="1" thickTop="1" x14ac:dyDescent="0.3">
      <c r="B19" s="52" t="s">
        <v>65</v>
      </c>
      <c r="F19" s="63">
        <f t="shared" si="4"/>
        <v>0</v>
      </c>
      <c r="K19" s="63">
        <f t="shared" si="0"/>
        <v>1</v>
      </c>
      <c r="M19" s="52" t="s">
        <v>65</v>
      </c>
      <c r="N19" s="262"/>
      <c r="O19" s="262"/>
      <c r="P19" s="255"/>
      <c r="Q19" s="260">
        <v>0</v>
      </c>
      <c r="R19" s="255"/>
      <c r="S19" s="262"/>
      <c r="T19" s="262"/>
      <c r="U19" s="255"/>
      <c r="V19" s="260">
        <v>1</v>
      </c>
      <c r="X19" s="52" t="s">
        <v>65</v>
      </c>
      <c r="AB19" s="63">
        <f t="shared" si="5"/>
        <v>0</v>
      </c>
      <c r="AG19" s="63">
        <f t="shared" si="1"/>
        <v>1</v>
      </c>
      <c r="AI19" s="52" t="s">
        <v>65</v>
      </c>
      <c r="AJ19" s="90">
        <v>0</v>
      </c>
      <c r="AK19" s="90">
        <v>0</v>
      </c>
      <c r="AM19" s="63">
        <f t="shared" si="6"/>
        <v>0</v>
      </c>
      <c r="AO19" s="90">
        <v>0</v>
      </c>
      <c r="AP19" s="90">
        <v>0</v>
      </c>
      <c r="AR19" s="63">
        <f t="shared" si="2"/>
        <v>1</v>
      </c>
      <c r="AT19" s="52" t="s">
        <v>65</v>
      </c>
      <c r="AU19" s="90">
        <v>0.25</v>
      </c>
      <c r="AV19" s="90">
        <v>0.25</v>
      </c>
      <c r="AX19" s="63">
        <f t="shared" si="7"/>
        <v>0</v>
      </c>
      <c r="AZ19" s="90">
        <v>0.25</v>
      </c>
      <c r="BA19" s="90">
        <v>0.25</v>
      </c>
      <c r="BC19" s="63">
        <f t="shared" si="3"/>
        <v>0</v>
      </c>
    </row>
    <row r="20" spans="2:55" s="75" customFormat="1" x14ac:dyDescent="0.3">
      <c r="B20" s="124"/>
      <c r="F20" s="125"/>
      <c r="M20" s="124"/>
      <c r="Q20" s="125"/>
      <c r="X20" s="124"/>
      <c r="AB20" s="125"/>
      <c r="AI20" s="124"/>
      <c r="AM20" s="125"/>
      <c r="AT20" s="124"/>
      <c r="AX20" s="125"/>
    </row>
    <row r="21" spans="2:55" s="75" customFormat="1" x14ac:dyDescent="0.3">
      <c r="B21" s="124"/>
      <c r="F21" s="125"/>
      <c r="M21" s="124"/>
      <c r="Q21" s="125"/>
      <c r="X21" s="124"/>
      <c r="AB21" s="125"/>
      <c r="AI21" s="124"/>
      <c r="AM21" s="125"/>
      <c r="AT21" s="124"/>
      <c r="AX21" s="125"/>
    </row>
    <row r="22" spans="2:55" ht="15.75" thickBot="1" x14ac:dyDescent="0.3">
      <c r="B22" s="45" t="s">
        <v>66</v>
      </c>
      <c r="F22" s="63">
        <f t="shared" si="4"/>
        <v>0</v>
      </c>
      <c r="K22" s="60">
        <f t="shared" ref="K22:K23" si="13">IFERROR(((I22/C22)^(1/3))-1,1)</f>
        <v>1</v>
      </c>
      <c r="M22" s="45" t="s">
        <v>66</v>
      </c>
      <c r="Q22" s="63">
        <f t="shared" ref="Q11:Q23" si="14">IFERROR((O22-N22)/N22,0)</f>
        <v>0</v>
      </c>
      <c r="V22" s="60">
        <f t="shared" ref="V22:V23" si="15">IFERROR(((T22/N22)^(1/3))-1,1)</f>
        <v>1</v>
      </c>
      <c r="X22" s="45" t="s">
        <v>66</v>
      </c>
      <c r="Y22" s="119" t="s">
        <v>102</v>
      </c>
      <c r="Z22" s="119" t="s">
        <v>102</v>
      </c>
      <c r="AB22" s="63">
        <f t="shared" si="5"/>
        <v>0</v>
      </c>
      <c r="AD22" s="119" t="s">
        <v>102</v>
      </c>
      <c r="AE22" s="119" t="s">
        <v>102</v>
      </c>
      <c r="AG22" s="60">
        <f t="shared" ref="AG22:AG23" si="16">IFERROR(((AE22/Y22)^(1/3))-1,1)</f>
        <v>1</v>
      </c>
      <c r="AI22" s="45" t="s">
        <v>66</v>
      </c>
      <c r="AJ22" s="119" t="s">
        <v>102</v>
      </c>
      <c r="AK22" s="119" t="s">
        <v>102</v>
      </c>
      <c r="AM22" s="63">
        <f t="shared" si="6"/>
        <v>0</v>
      </c>
      <c r="AO22" s="119" t="s">
        <v>102</v>
      </c>
      <c r="AP22" s="119" t="s">
        <v>102</v>
      </c>
      <c r="AR22" s="60">
        <f t="shared" ref="AR22:AR23" si="17">IFERROR(((AP22/AJ22)^(1/3))-1,1)</f>
        <v>1</v>
      </c>
      <c r="AT22" s="45" t="s">
        <v>66</v>
      </c>
      <c r="AU22" s="119" t="s">
        <v>102</v>
      </c>
      <c r="AV22" s="119" t="s">
        <v>102</v>
      </c>
      <c r="AX22" s="63">
        <f t="shared" si="7"/>
        <v>0</v>
      </c>
      <c r="AZ22" s="119" t="s">
        <v>102</v>
      </c>
      <c r="BA22" s="119" t="s">
        <v>102</v>
      </c>
      <c r="BC22" s="60">
        <f t="shared" ref="BC22:BC23" si="18">IFERROR(((BA22/AU22)^(1/3))-1,1)</f>
        <v>1</v>
      </c>
    </row>
    <row r="23" spans="2:55" ht="17.25" thickTop="1" thickBot="1" x14ac:dyDescent="0.3">
      <c r="B23" s="32" t="s">
        <v>67</v>
      </c>
      <c r="C23" s="32"/>
      <c r="D23" s="32"/>
      <c r="F23" s="59">
        <f t="shared" si="4"/>
        <v>0</v>
      </c>
      <c r="H23" s="32"/>
      <c r="I23" s="32"/>
      <c r="K23" s="59">
        <f t="shared" si="13"/>
        <v>1</v>
      </c>
      <c r="M23" s="32" t="s">
        <v>67</v>
      </c>
      <c r="N23" s="32"/>
      <c r="O23" s="32"/>
      <c r="Q23" s="59">
        <f t="shared" si="14"/>
        <v>0</v>
      </c>
      <c r="S23" s="32"/>
      <c r="T23" s="32"/>
      <c r="V23" s="59">
        <f t="shared" si="15"/>
        <v>1</v>
      </c>
      <c r="X23" s="32" t="s">
        <v>67</v>
      </c>
      <c r="Y23" s="126" t="s">
        <v>102</v>
      </c>
      <c r="Z23" s="126" t="s">
        <v>102</v>
      </c>
      <c r="AB23" s="59">
        <f t="shared" si="5"/>
        <v>0</v>
      </c>
      <c r="AD23" s="126" t="s">
        <v>102</v>
      </c>
      <c r="AE23" s="126" t="s">
        <v>102</v>
      </c>
      <c r="AG23" s="59">
        <f t="shared" si="16"/>
        <v>1</v>
      </c>
      <c r="AI23" s="32" t="s">
        <v>67</v>
      </c>
      <c r="AJ23" s="126" t="s">
        <v>102</v>
      </c>
      <c r="AK23" s="126" t="s">
        <v>102</v>
      </c>
      <c r="AM23" s="59">
        <f t="shared" si="6"/>
        <v>0</v>
      </c>
      <c r="AO23" s="126" t="s">
        <v>102</v>
      </c>
      <c r="AP23" s="126" t="s">
        <v>102</v>
      </c>
      <c r="AR23" s="59">
        <f t="shared" si="17"/>
        <v>1</v>
      </c>
      <c r="AT23" s="32" t="s">
        <v>67</v>
      </c>
      <c r="AU23" s="126" t="s">
        <v>102</v>
      </c>
      <c r="AV23" s="126" t="s">
        <v>102</v>
      </c>
      <c r="AX23" s="59">
        <f t="shared" si="7"/>
        <v>0</v>
      </c>
      <c r="AZ23" s="126" t="s">
        <v>102</v>
      </c>
      <c r="BA23" s="126" t="s">
        <v>102</v>
      </c>
      <c r="BC23" s="59">
        <f t="shared" si="18"/>
        <v>1</v>
      </c>
    </row>
    <row r="24" spans="2:55" ht="15" thickTop="1" x14ac:dyDescent="0.3"/>
    <row r="25" spans="2:55" x14ac:dyDescent="0.3">
      <c r="M25" s="92" t="s">
        <v>121</v>
      </c>
      <c r="AI25" s="123"/>
    </row>
    <row r="26" spans="2:55" x14ac:dyDescent="0.3">
      <c r="AJ26" s="170"/>
    </row>
  </sheetData>
  <mergeCells count="5">
    <mergeCell ref="B5:K5"/>
    <mergeCell ref="M5:V5"/>
    <mergeCell ref="X5:AG5"/>
    <mergeCell ref="AI5:AR5"/>
    <mergeCell ref="AT5:BC5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BC24"/>
  <sheetViews>
    <sheetView workbookViewId="0">
      <selection activeCell="N9" sqref="N9"/>
    </sheetView>
  </sheetViews>
  <sheetFormatPr defaultRowHeight="14.4" x14ac:dyDescent="0.3"/>
  <cols>
    <col min="2" max="2" width="41.6640625" bestFit="1" customWidth="1"/>
    <col min="5" max="5" width="2.109375" customWidth="1"/>
    <col min="7" max="7" width="2.109375" customWidth="1"/>
    <col min="10" max="10" width="2.109375" customWidth="1"/>
    <col min="13" max="13" width="41.6640625" bestFit="1" customWidth="1"/>
    <col min="16" max="16" width="2.109375" customWidth="1"/>
    <col min="18" max="18" width="2.109375" customWidth="1"/>
    <col min="21" max="21" width="2.109375" customWidth="1"/>
    <col min="24" max="24" width="41.6640625" bestFit="1" customWidth="1"/>
    <col min="27" max="27" width="2.109375" customWidth="1"/>
    <col min="29" max="29" width="2.109375" customWidth="1"/>
    <col min="32" max="32" width="2.109375" customWidth="1"/>
    <col min="35" max="35" width="41.6640625" bestFit="1" customWidth="1"/>
    <col min="38" max="38" width="2.109375" customWidth="1"/>
    <col min="40" max="40" width="2.109375" customWidth="1"/>
    <col min="43" max="43" width="2.109375" customWidth="1"/>
    <col min="46" max="46" width="41.6640625" bestFit="1" customWidth="1"/>
    <col min="47" max="47" width="10.5546875" bestFit="1" customWidth="1"/>
    <col min="49" max="49" width="2.109375" customWidth="1"/>
    <col min="51" max="51" width="2.109375" customWidth="1"/>
    <col min="52" max="53" width="10.5546875" bestFit="1" customWidth="1"/>
    <col min="54" max="54" width="2.109375" customWidth="1"/>
  </cols>
  <sheetData>
    <row r="2" spans="2:55" ht="15" x14ac:dyDescent="0.25">
      <c r="B2" s="5" t="s">
        <v>31</v>
      </c>
    </row>
    <row r="3" spans="2:55" ht="15" x14ac:dyDescent="0.25">
      <c r="B3" s="5" t="s">
        <v>32</v>
      </c>
    </row>
    <row r="5" spans="2:55" ht="18.75" x14ac:dyDescent="0.3">
      <c r="B5" s="216" t="s">
        <v>0</v>
      </c>
      <c r="C5" s="216"/>
      <c r="D5" s="216"/>
      <c r="E5" s="216"/>
      <c r="F5" s="216"/>
      <c r="G5" s="216"/>
      <c r="H5" s="216"/>
      <c r="I5" s="216"/>
      <c r="J5" s="216"/>
      <c r="K5" s="216"/>
      <c r="M5" s="217" t="s">
        <v>1</v>
      </c>
      <c r="N5" s="217"/>
      <c r="O5" s="217"/>
      <c r="P5" s="217"/>
      <c r="Q5" s="217"/>
      <c r="R5" s="217"/>
      <c r="S5" s="217"/>
      <c r="T5" s="217"/>
      <c r="U5" s="217"/>
      <c r="V5" s="217"/>
      <c r="X5" s="217" t="s">
        <v>33</v>
      </c>
      <c r="Y5" s="217"/>
      <c r="Z5" s="217"/>
      <c r="AA5" s="217"/>
      <c r="AB5" s="217"/>
      <c r="AC5" s="217"/>
      <c r="AD5" s="217"/>
      <c r="AE5" s="217"/>
      <c r="AF5" s="217"/>
      <c r="AG5" s="217"/>
      <c r="AI5" s="217" t="s">
        <v>34</v>
      </c>
      <c r="AJ5" s="217"/>
      <c r="AK5" s="217"/>
      <c r="AL5" s="217"/>
      <c r="AM5" s="217"/>
      <c r="AN5" s="217"/>
      <c r="AO5" s="217"/>
      <c r="AP5" s="217"/>
      <c r="AQ5" s="217"/>
      <c r="AR5" s="217"/>
      <c r="AT5" s="217" t="s">
        <v>35</v>
      </c>
      <c r="AU5" s="217"/>
      <c r="AV5" s="217"/>
      <c r="AW5" s="217"/>
      <c r="AX5" s="217"/>
      <c r="AY5" s="217"/>
      <c r="AZ5" s="217"/>
      <c r="BA5" s="217"/>
      <c r="BB5" s="217"/>
      <c r="BC5" s="217"/>
    </row>
    <row r="7" spans="2:55" ht="15.75" thickBot="1" x14ac:dyDescent="0.3"/>
    <row r="8" spans="2:55" ht="28.8" thickTop="1" thickBot="1" x14ac:dyDescent="0.35">
      <c r="C8" s="1" t="s">
        <v>2</v>
      </c>
      <c r="D8" s="1" t="s">
        <v>3</v>
      </c>
      <c r="E8" s="2"/>
      <c r="F8" s="3" t="s">
        <v>4</v>
      </c>
      <c r="G8" s="4"/>
      <c r="H8" s="1" t="s">
        <v>5</v>
      </c>
      <c r="I8" s="1" t="s">
        <v>6</v>
      </c>
      <c r="J8" s="2"/>
      <c r="K8" s="3" t="s">
        <v>7</v>
      </c>
      <c r="N8" s="1" t="s">
        <v>2</v>
      </c>
      <c r="O8" s="1" t="s">
        <v>3</v>
      </c>
      <c r="P8" s="2"/>
      <c r="Q8" s="3" t="s">
        <v>4</v>
      </c>
      <c r="R8" s="4"/>
      <c r="S8" s="1" t="s">
        <v>5</v>
      </c>
      <c r="T8" s="1" t="s">
        <v>6</v>
      </c>
      <c r="U8" s="2"/>
      <c r="V8" s="3" t="s">
        <v>7</v>
      </c>
      <c r="Y8" s="1" t="s">
        <v>2</v>
      </c>
      <c r="Z8" s="1" t="s">
        <v>3</v>
      </c>
      <c r="AA8" s="2"/>
      <c r="AB8" s="3" t="s">
        <v>4</v>
      </c>
      <c r="AC8" s="4"/>
      <c r="AD8" s="1" t="s">
        <v>5</v>
      </c>
      <c r="AE8" s="1" t="s">
        <v>6</v>
      </c>
      <c r="AF8" s="2"/>
      <c r="AG8" s="3" t="s">
        <v>7</v>
      </c>
      <c r="AJ8" s="1" t="s">
        <v>2</v>
      </c>
      <c r="AK8" s="1" t="s">
        <v>3</v>
      </c>
      <c r="AL8" s="2"/>
      <c r="AM8" s="3" t="s">
        <v>4</v>
      </c>
      <c r="AN8" s="4"/>
      <c r="AO8" s="1" t="s">
        <v>5</v>
      </c>
      <c r="AP8" s="1" t="s">
        <v>6</v>
      </c>
      <c r="AQ8" s="2"/>
      <c r="AR8" s="3" t="s">
        <v>7</v>
      </c>
      <c r="AU8" s="1" t="s">
        <v>2</v>
      </c>
      <c r="AV8" s="1" t="s">
        <v>3</v>
      </c>
      <c r="AW8" s="2"/>
      <c r="AX8" s="3" t="s">
        <v>4</v>
      </c>
      <c r="AY8" s="4"/>
      <c r="AZ8" s="1" t="s">
        <v>5</v>
      </c>
      <c r="BA8" s="1" t="s">
        <v>6</v>
      </c>
      <c r="BB8" s="2"/>
      <c r="BC8" s="3" t="s">
        <v>7</v>
      </c>
    </row>
    <row r="9" spans="2:55" ht="15" thickTop="1" x14ac:dyDescent="0.3">
      <c r="B9" s="44" t="s">
        <v>68</v>
      </c>
      <c r="C9" s="121">
        <f>N9+Y9</f>
        <v>88495.980754770251</v>
      </c>
      <c r="D9" s="121">
        <f>O9+Z9</f>
        <v>91743.068133547058</v>
      </c>
      <c r="F9" s="63">
        <f>IFERROR((D9-C9)/C9,0)</f>
        <v>3.6691919238397472E-2</v>
      </c>
      <c r="H9" s="121">
        <f>S9+AD9</f>
        <v>98632.298933919985</v>
      </c>
      <c r="I9" s="121">
        <f>T9+AE9</f>
        <v>104100.09543004932</v>
      </c>
      <c r="K9" s="60">
        <f>IFERROR(((I9/C9)^(1/3))-1,0)</f>
        <v>5.5623849655678237E-2</v>
      </c>
      <c r="M9" s="44" t="s">
        <v>68</v>
      </c>
      <c r="N9" s="236">
        <v>33452.456241148779</v>
      </c>
      <c r="O9" s="236">
        <v>32545.366201080207</v>
      </c>
      <c r="P9" s="227"/>
      <c r="Q9" s="233">
        <v>-2.7115797821530049E-2</v>
      </c>
      <c r="R9" s="227"/>
      <c r="S9" s="236">
        <v>33444.850138173511</v>
      </c>
      <c r="T9" s="236">
        <v>34194.695863941655</v>
      </c>
      <c r="U9" s="227"/>
      <c r="V9" s="232">
        <v>7.341929512352019E-3</v>
      </c>
      <c r="X9" s="44" t="s">
        <v>68</v>
      </c>
      <c r="Y9" s="121">
        <f>AJ9+AU9</f>
        <v>55043.52451362148</v>
      </c>
      <c r="Z9" s="121">
        <f>AK9+AV9</f>
        <v>59197.701932466844</v>
      </c>
      <c r="AB9" s="63">
        <f>IFERROR((Z9-Y9)/Y9,0)</f>
        <v>7.5470774365426763E-2</v>
      </c>
      <c r="AD9" s="121">
        <f>AO9+AZ9</f>
        <v>65187.448795746466</v>
      </c>
      <c r="AE9" s="121">
        <f>AP9+BA9</f>
        <v>69905.399566107662</v>
      </c>
      <c r="AG9" s="60">
        <f>IFERROR(((AE9/Y9)^(1/3))-1,0)</f>
        <v>8.2932770220029317E-2</v>
      </c>
      <c r="AI9" s="44" t="s">
        <v>68</v>
      </c>
      <c r="AJ9" s="72">
        <f>Volumes!Y18</f>
        <v>300</v>
      </c>
      <c r="AK9" s="72">
        <f>Volumes!Z18</f>
        <v>1300</v>
      </c>
      <c r="AM9" s="63">
        <f>IFERROR((AK9-AJ9)/AJ9,0)</f>
        <v>3.3333333333333335</v>
      </c>
      <c r="AO9" s="72">
        <f>Volumes!AD18</f>
        <v>3300</v>
      </c>
      <c r="AP9" s="72">
        <f>Volumes!AE18</f>
        <v>3300</v>
      </c>
      <c r="AR9" s="60">
        <f>IFERROR(((AP9/AJ9)^(1/3))-1,0)</f>
        <v>1.2239800905693157</v>
      </c>
      <c r="AT9" s="44" t="s">
        <v>68</v>
      </c>
      <c r="AU9" s="58">
        <f>Volumes!AJ24</f>
        <v>54743.52451362148</v>
      </c>
      <c r="AV9" s="58">
        <f>Volumes!AK24</f>
        <v>57897.701932466844</v>
      </c>
      <c r="AX9" s="63">
        <f>IFERROR((AV9-AU9)/AU9,0)</f>
        <v>5.7617361082780302E-2</v>
      </c>
      <c r="AZ9" s="58">
        <f>Volumes!AO24</f>
        <v>61887.448795746466</v>
      </c>
      <c r="BA9" s="58">
        <f>Volumes!AP24</f>
        <v>66605.399566107662</v>
      </c>
      <c r="BC9" s="60">
        <f>IFERROR(((BA9/AU9)^(1/3))-1,0)</f>
        <v>6.7559839495159091E-2</v>
      </c>
    </row>
    <row r="10" spans="2:55" ht="15" thickBot="1" x14ac:dyDescent="0.35">
      <c r="B10" s="45" t="s">
        <v>53</v>
      </c>
      <c r="C10" s="121">
        <f>N10+Y10</f>
        <v>70977.680330676987</v>
      </c>
      <c r="D10" s="121">
        <f>O10+Z10</f>
        <v>72402.916460570937</v>
      </c>
      <c r="F10" s="60">
        <f>IFERROR((D10-C10)/C10,0)</f>
        <v>2.0080060707167894E-2</v>
      </c>
      <c r="H10" s="121">
        <f>S10+AD10</f>
        <v>74082.528139889211</v>
      </c>
      <c r="I10" s="121">
        <f>T10+AE10</f>
        <v>77356.539028142884</v>
      </c>
      <c r="K10" s="63">
        <f>IFERROR(((I10/C10)^(1/3))-1,0)</f>
        <v>2.9101970373536901E-2</v>
      </c>
      <c r="M10" s="45" t="s">
        <v>53</v>
      </c>
      <c r="N10" s="236">
        <v>0</v>
      </c>
      <c r="O10" s="236">
        <v>0</v>
      </c>
      <c r="P10" s="227"/>
      <c r="Q10" s="232">
        <v>0</v>
      </c>
      <c r="R10" s="227"/>
      <c r="S10" s="236">
        <v>0</v>
      </c>
      <c r="T10" s="236">
        <v>0</v>
      </c>
      <c r="U10" s="227"/>
      <c r="V10" s="233">
        <v>0</v>
      </c>
      <c r="X10" s="45" t="s">
        <v>53</v>
      </c>
      <c r="Y10" s="121">
        <f>AJ10+AU10</f>
        <v>70977.680330676987</v>
      </c>
      <c r="Z10" s="121">
        <f>AK10+AV10</f>
        <v>72402.916460570937</v>
      </c>
      <c r="AB10" s="60">
        <f>IFERROR((Z10-Y10)/Y10,0)</f>
        <v>2.0080060707167894E-2</v>
      </c>
      <c r="AD10" s="121">
        <f>AO10+AZ10</f>
        <v>74082.528139889211</v>
      </c>
      <c r="AE10" s="121">
        <f>AP10+BA10</f>
        <v>77356.539028142884</v>
      </c>
      <c r="AG10" s="63">
        <f>IFERROR(((AE10/Y10)^(1/3))-1,0)</f>
        <v>2.9101970373536901E-2</v>
      </c>
      <c r="AI10" s="45" t="s">
        <v>53</v>
      </c>
      <c r="AJ10">
        <v>0</v>
      </c>
      <c r="AK10">
        <v>0</v>
      </c>
      <c r="AM10" s="60">
        <f>IFERROR((AK10-AJ10)/AJ10,0)</f>
        <v>0</v>
      </c>
      <c r="AO10">
        <v>0</v>
      </c>
      <c r="AP10">
        <v>0</v>
      </c>
      <c r="AR10" s="63">
        <f>IFERROR(((AP10/AJ10)^(1/3))-1,0)</f>
        <v>0</v>
      </c>
      <c r="AT10" s="45" t="s">
        <v>89</v>
      </c>
      <c r="AU10" s="58">
        <f>-SUM('[5]AN01010201:AC'!$AN$111:$AN$125)/1000</f>
        <v>70977.680330676987</v>
      </c>
      <c r="AV10" s="58">
        <f>-SUM('[5]AN01010201:AC'!$AO$111:$AO$125)/1000</f>
        <v>72402.916460570937</v>
      </c>
      <c r="AX10" s="60">
        <f>IFERROR((AV10-AU10)/AU10,0)</f>
        <v>2.0080060707167894E-2</v>
      </c>
      <c r="AZ10" s="58">
        <f>-SUM('[5]AN01010201:AC'!$AP$111:$AP$125)/1000</f>
        <v>74082.528139889211</v>
      </c>
      <c r="BA10" s="58">
        <f>-SUM('[5]AN01010201:AC'!$AQ$111:$AQ$125)/1000</f>
        <v>77356.539028142884</v>
      </c>
      <c r="BC10" s="63">
        <f>IFERROR(((BA10/AU10)^(1/3))-1,0)</f>
        <v>2.9101970373536901E-2</v>
      </c>
    </row>
    <row r="11" spans="2:55" ht="16.8" thickTop="1" thickBot="1" x14ac:dyDescent="0.35">
      <c r="B11" s="32" t="s">
        <v>69</v>
      </c>
      <c r="C11" s="88">
        <f>IFERROR(C9/C10,0)</f>
        <v>1.2468142145879872</v>
      </c>
      <c r="D11" s="88">
        <f>IFERROR(D9/D10,0)</f>
        <v>1.26711840652867</v>
      </c>
      <c r="F11" s="59">
        <f>IFERROR((D11-C11)/C11,0)</f>
        <v>1.6284857601974283E-2</v>
      </c>
      <c r="H11" s="88">
        <f>IFERROR(H9/H10,0)</f>
        <v>1.3313840848907548</v>
      </c>
      <c r="I11" s="88">
        <f>IFERROR(I9/I10,0)</f>
        <v>1.345718109133307</v>
      </c>
      <c r="K11" s="59">
        <f>IFERROR(((I11/C11)^(1/3))-1,0)</f>
        <v>2.5771867167365903E-2</v>
      </c>
      <c r="M11" s="32" t="s">
        <v>69</v>
      </c>
      <c r="N11" s="228">
        <v>0</v>
      </c>
      <c r="O11" s="228">
        <v>0</v>
      </c>
      <c r="P11" s="227"/>
      <c r="Q11" s="231">
        <v>0</v>
      </c>
      <c r="R11" s="227"/>
      <c r="S11" s="228">
        <v>0</v>
      </c>
      <c r="T11" s="228">
        <v>0</v>
      </c>
      <c r="U11" s="227"/>
      <c r="V11" s="231">
        <v>0</v>
      </c>
      <c r="X11" s="32" t="s">
        <v>69</v>
      </c>
      <c r="Y11" s="88">
        <f>IFERROR(Y9/Y10,0)</f>
        <v>0.77550469749335171</v>
      </c>
      <c r="Z11" s="88">
        <f>IFERROR(Z9/Z10,0)</f>
        <v>0.81761488108983338</v>
      </c>
      <c r="AB11" s="59">
        <f>IFERROR((Z11-Y11)/Y11,0)</f>
        <v>5.4300359150103887E-2</v>
      </c>
      <c r="AD11" s="88">
        <f>IFERROR(AD9/AD10,0)</f>
        <v>0.87993013241467322</v>
      </c>
      <c r="AE11" s="88">
        <f>IFERROR(AE9/AE10,0)</f>
        <v>0.90367796238499709</v>
      </c>
      <c r="AG11" s="59">
        <f>IFERROR(((AE11/Y11)^(1/3))-1,0)</f>
        <v>5.2308518879769839E-2</v>
      </c>
      <c r="AI11" s="32" t="s">
        <v>69</v>
      </c>
      <c r="AJ11" s="16">
        <f>IFERROR(AJ9/AJ10,0)</f>
        <v>0</v>
      </c>
      <c r="AK11" s="16">
        <f>IFERROR(AK9/AK10,0)</f>
        <v>0</v>
      </c>
      <c r="AM11" s="59">
        <f>IFERROR((AK11-AJ11)/AJ11,0)</f>
        <v>0</v>
      </c>
      <c r="AO11" s="16">
        <f>IFERROR(AO9/AO10,0)</f>
        <v>0</v>
      </c>
      <c r="AP11" s="16">
        <f>IFERROR(AP9/AP10,0)</f>
        <v>0</v>
      </c>
      <c r="AR11" s="59">
        <f>IFERROR(((AP11/AJ11)^(1/3))-1,0)</f>
        <v>0</v>
      </c>
      <c r="AT11" s="32" t="s">
        <v>69</v>
      </c>
      <c r="AU11" s="88">
        <f>IFERROR(AU9/AU10,0)</f>
        <v>0.77127801667478546</v>
      </c>
      <c r="AV11" s="88">
        <f>IFERROR(AV9/AV10,0)</f>
        <v>0.79965980326216113</v>
      </c>
      <c r="AX11" s="59">
        <f>IFERROR((AV11-AU11)/AU11,0)</f>
        <v>3.6798386539964145E-2</v>
      </c>
      <c r="AZ11" s="88">
        <f>IFERROR(AZ9/AZ10,0)</f>
        <v>0.83538521632098039</v>
      </c>
      <c r="BA11" s="88">
        <f>IFERROR(BA9/BA10,0)</f>
        <v>0.86101834961716839</v>
      </c>
      <c r="BC11" s="59">
        <f>IFERROR(((BA11/AU11)^(1/3))-1,0)</f>
        <v>3.737031919943079E-2</v>
      </c>
    </row>
    <row r="12" spans="2:55" ht="15" thickTop="1" x14ac:dyDescent="0.3">
      <c r="B12" s="49"/>
      <c r="F12" s="15"/>
      <c r="M12" s="49"/>
      <c r="N12" s="227"/>
      <c r="O12" s="227"/>
      <c r="P12" s="227"/>
      <c r="Q12" s="229"/>
      <c r="R12" s="227"/>
      <c r="S12" s="227"/>
      <c r="T12" s="227"/>
      <c r="U12" s="227"/>
      <c r="V12" s="227"/>
      <c r="X12" s="49"/>
      <c r="AB12" s="15"/>
      <c r="AI12" s="49"/>
      <c r="AM12" s="15"/>
      <c r="AT12" s="49"/>
      <c r="AU12" s="19"/>
      <c r="AV12" s="19"/>
      <c r="AX12" s="15"/>
      <c r="AZ12" s="19"/>
      <c r="BA12" s="19"/>
    </row>
    <row r="13" spans="2:55" ht="15" thickBot="1" x14ac:dyDescent="0.35">
      <c r="B13" s="53" t="s">
        <v>70</v>
      </c>
      <c r="C13" s="58">
        <f>N13+Y13</f>
        <v>26791.086309038306</v>
      </c>
      <c r="D13" s="58">
        <f>O13+Z13</f>
        <v>29977.084970178643</v>
      </c>
      <c r="F13" s="60"/>
      <c r="H13" s="58">
        <f>S13+AD13</f>
        <v>33036.656411556425</v>
      </c>
      <c r="I13" s="58">
        <f>T13+AE13</f>
        <v>33548.400827863123</v>
      </c>
      <c r="K13" s="63">
        <f>IFERROR(((I13/C13)^(1/3))-1,0)</f>
        <v>7.7855395172397257E-2</v>
      </c>
      <c r="M13" s="53" t="s">
        <v>70</v>
      </c>
      <c r="N13" s="230">
        <v>20069.232534818308</v>
      </c>
      <c r="O13" s="230">
        <v>20323.52156637219</v>
      </c>
      <c r="P13" s="227"/>
      <c r="Q13" s="232">
        <v>1.2670590722027562E-2</v>
      </c>
      <c r="R13" s="227"/>
      <c r="S13" s="230">
        <v>19840.978228318425</v>
      </c>
      <c r="T13" s="230">
        <v>19860.222514994195</v>
      </c>
      <c r="U13" s="227"/>
      <c r="V13" s="169">
        <f>IFERROR(((T13/N13)^(1/3))-1,0)</f>
        <v>-3.4836047611718213E-3</v>
      </c>
      <c r="W13" s="167"/>
      <c r="X13" s="284" t="s">
        <v>70</v>
      </c>
      <c r="Y13" s="291">
        <v>6721.8537742199987</v>
      </c>
      <c r="Z13" s="291">
        <v>9653.5634038064527</v>
      </c>
      <c r="AA13" s="290"/>
      <c r="AB13" s="292">
        <v>0.43614599901448292</v>
      </c>
      <c r="AC13" s="290"/>
      <c r="AD13" s="291">
        <v>13195.678183238</v>
      </c>
      <c r="AE13" s="291">
        <v>13688.178312868929</v>
      </c>
      <c r="AF13" s="290"/>
      <c r="AG13" s="293">
        <v>0.26751234477157082</v>
      </c>
      <c r="AI13" s="53" t="s">
        <v>107</v>
      </c>
      <c r="AJ13" s="72">
        <f>'[9]Holdco Olivia'!$F$158</f>
        <v>4302.6019999999999</v>
      </c>
      <c r="AK13" s="72">
        <f>'[9]Holdco Olivia'!$H$158</f>
        <v>6742.6019999999999</v>
      </c>
      <c r="AO13" s="72">
        <f>'[9]Holdco Olivia'!$I$158</f>
        <v>9742.6020000000008</v>
      </c>
      <c r="AP13" s="72">
        <f>'[9]Holdco Olivia'!$J$158</f>
        <v>10242.602000000001</v>
      </c>
      <c r="AT13" s="53" t="s">
        <v>107</v>
      </c>
      <c r="AU13" s="58">
        <f>Y13-AJ13</f>
        <v>2419.2517742199989</v>
      </c>
      <c r="AV13" s="58">
        <f>Z13-AK13</f>
        <v>2910.9614038064528</v>
      </c>
      <c r="AX13" s="60">
        <f>IFERROR((AV13-AU13)/AU13,0)</f>
        <v>0.2032486386188507</v>
      </c>
      <c r="AZ13" s="58">
        <f>AD13-AO13</f>
        <v>3453.0761832379994</v>
      </c>
      <c r="BA13" s="58">
        <f>AE13-AP13</f>
        <v>3445.5763128689287</v>
      </c>
      <c r="BC13" s="63">
        <f>IFERROR(((BA13/AU13)^(1/3))-1,0)</f>
        <v>0.12510641691066593</v>
      </c>
    </row>
    <row r="14" spans="2:55" ht="16.8" thickTop="1" thickBot="1" x14ac:dyDescent="0.35">
      <c r="B14" s="54" t="s">
        <v>71</v>
      </c>
      <c r="C14" s="94">
        <f>IFERROR(C9/(C10+C13),0)</f>
        <v>0.90515594904540519</v>
      </c>
      <c r="D14" s="94">
        <f>IFERROR(D9/(D10+D13),0)</f>
        <v>0.89610340741792827</v>
      </c>
      <c r="F14" s="59">
        <f>IFERROR((D14-C14)/C14,0)</f>
        <v>-1.0001085047304735E-2</v>
      </c>
      <c r="H14" s="88">
        <f>IFERROR(H9/(H10+H13),0)</f>
        <v>0.92077156250709047</v>
      </c>
      <c r="I14" s="88">
        <f>IFERROR(I9/(I10+I13),0)</f>
        <v>0.93864254888202636</v>
      </c>
      <c r="K14" s="59">
        <f>IFERROR(((I14/C14)^(1/3))-1,0)</f>
        <v>1.2182774858214174E-2</v>
      </c>
      <c r="M14" s="54" t="s">
        <v>71</v>
      </c>
      <c r="N14" s="235">
        <v>1.6668527898668664</v>
      </c>
      <c r="O14" s="235">
        <v>1.60136451228662</v>
      </c>
      <c r="P14" s="227"/>
      <c r="Q14" s="231">
        <v>-3.9288579038510636E-2</v>
      </c>
      <c r="R14" s="227"/>
      <c r="S14" s="234">
        <v>1.6856452213852386</v>
      </c>
      <c r="T14" s="234">
        <v>1.7217680133304212</v>
      </c>
      <c r="U14" s="227"/>
      <c r="V14" s="231">
        <v>1.0863377988807876E-2</v>
      </c>
      <c r="W14" s="167"/>
      <c r="X14" s="168"/>
      <c r="Y14" s="299">
        <v>0.70841511661203616</v>
      </c>
      <c r="Z14" s="299">
        <v>0.72142629113884205</v>
      </c>
      <c r="AA14" s="294"/>
      <c r="AB14" s="297">
        <v>1.8366596394824627E-2</v>
      </c>
      <c r="AC14" s="294"/>
      <c r="AD14" s="298">
        <v>0.74689262694520941</v>
      </c>
      <c r="AE14" s="298">
        <v>0.76781390077003653</v>
      </c>
      <c r="AF14" s="294"/>
      <c r="AG14" s="297">
        <v>2.7202458587622491E-2</v>
      </c>
      <c r="AI14" s="54" t="s">
        <v>71</v>
      </c>
      <c r="AJ14" s="94">
        <f>IFERROR(AJ9/(AJ10+AJ13),0)</f>
        <v>6.9725249976642048E-2</v>
      </c>
      <c r="AK14" s="94">
        <f>IFERROR(AK9/(AK10+AK13),0)</f>
        <v>0.19280390567321043</v>
      </c>
      <c r="AM14" s="59">
        <f>IFERROR((AK14-AJ14)/AJ14,0)</f>
        <v>1.7651949005245549</v>
      </c>
      <c r="AO14" s="94">
        <f>IFERROR(AO9/(AO10+AO13),0)</f>
        <v>0.33871854767340387</v>
      </c>
      <c r="AP14" s="94">
        <f>IFERROR(AP9/(AP10+AP13),0)</f>
        <v>0.32218375760378071</v>
      </c>
      <c r="AR14" s="59">
        <f>IFERROR(((AP14/AJ14)^(1/3))-1,0)</f>
        <v>0.66560182285401082</v>
      </c>
      <c r="AT14" s="54" t="s">
        <v>71</v>
      </c>
      <c r="AU14" s="94">
        <f>IFERROR(AU9/(AU10+AU13),0)</f>
        <v>0.74585575913967983</v>
      </c>
      <c r="AV14" s="94">
        <f>IFERROR(AV9/(AV10+AV13),0)</f>
        <v>0.76875210219193624</v>
      </c>
      <c r="AX14" s="59">
        <f>IFERROR((AV14-AU14)/AU14,0)</f>
        <v>3.0698084410672899E-2</v>
      </c>
      <c r="AZ14" s="94">
        <f>IFERROR(AZ9/(AZ10+AZ13),0)</f>
        <v>0.79818103355243686</v>
      </c>
      <c r="BA14" s="94">
        <f>IFERROR(BA9/(BA10+BA13),0)</f>
        <v>0.82430267184232386</v>
      </c>
      <c r="BC14" s="59">
        <f>IFERROR(((BA14/AU14)^(1/3))-1,0)</f>
        <v>3.3897027431587956E-2</v>
      </c>
    </row>
    <row r="15" spans="2:55" s="86" customFormat="1" ht="15" thickTop="1" x14ac:dyDescent="0.3">
      <c r="B15" s="91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1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1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1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1"/>
      <c r="AU15" s="93"/>
      <c r="AV15" s="93"/>
      <c r="AW15" s="93"/>
      <c r="AX15" s="93"/>
      <c r="AY15" s="93"/>
      <c r="AZ15" s="93"/>
      <c r="BA15" s="93"/>
      <c r="BB15" s="93"/>
      <c r="BC15" s="93"/>
    </row>
    <row r="16" spans="2:55" s="86" customFormat="1" x14ac:dyDescent="0.3">
      <c r="B16" s="91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1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2" t="s">
        <v>106</v>
      </c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2" t="s">
        <v>108</v>
      </c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2" t="s">
        <v>92</v>
      </c>
      <c r="AU16" s="93"/>
      <c r="AV16" s="93"/>
      <c r="AW16" s="93"/>
      <c r="AX16" s="93"/>
      <c r="AY16" s="93"/>
      <c r="AZ16" s="93"/>
      <c r="BA16" s="146"/>
      <c r="BB16" s="93"/>
      <c r="BC16" s="93"/>
    </row>
    <row r="17" spans="2:55" s="86" customFormat="1" ht="15" x14ac:dyDescent="0.25">
      <c r="B17" s="91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1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2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1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2"/>
      <c r="AU17" s="93"/>
      <c r="AV17" s="93"/>
      <c r="AW17" s="93"/>
      <c r="AX17" s="93"/>
      <c r="AY17" s="93"/>
      <c r="AZ17" s="93"/>
      <c r="BA17" s="93"/>
      <c r="BB17" s="93"/>
      <c r="BC17" s="93"/>
    </row>
    <row r="18" spans="2:55" ht="15" x14ac:dyDescent="0.25">
      <c r="B18" s="41"/>
      <c r="M18" s="41"/>
      <c r="X18" s="41"/>
      <c r="AI18" s="41"/>
      <c r="AT18" s="41"/>
    </row>
    <row r="19" spans="2:55" ht="15" x14ac:dyDescent="0.25">
      <c r="B19" s="13" t="s">
        <v>102</v>
      </c>
      <c r="C19" s="130"/>
      <c r="D19" s="130"/>
      <c r="H19" s="130"/>
      <c r="I19" s="130"/>
      <c r="M19" s="13" t="s">
        <v>102</v>
      </c>
      <c r="N19" s="130"/>
      <c r="O19" s="130"/>
      <c r="S19" s="130"/>
      <c r="T19" s="130"/>
      <c r="X19" s="13" t="s">
        <v>102</v>
      </c>
      <c r="Y19" s="130"/>
      <c r="Z19" s="130"/>
      <c r="AD19" s="130"/>
      <c r="AE19" s="130"/>
      <c r="AI19" s="13" t="s">
        <v>102</v>
      </c>
      <c r="AJ19" s="130"/>
      <c r="AK19" s="130"/>
      <c r="AO19" s="130"/>
      <c r="AP19" s="130"/>
      <c r="AT19" s="13" t="s">
        <v>102</v>
      </c>
      <c r="AU19" s="130"/>
      <c r="AV19" s="130"/>
      <c r="AZ19" s="130"/>
      <c r="BA19" s="130"/>
    </row>
    <row r="20" spans="2:55" ht="15" x14ac:dyDescent="0.25">
      <c r="B20" s="13" t="s">
        <v>102</v>
      </c>
      <c r="C20" s="130"/>
      <c r="D20" s="130"/>
      <c r="H20" s="130"/>
      <c r="I20" s="130"/>
      <c r="M20" s="13" t="s">
        <v>102</v>
      </c>
      <c r="N20" s="130"/>
      <c r="O20" s="130"/>
      <c r="S20" s="130"/>
      <c r="T20" s="130"/>
      <c r="X20" s="13" t="s">
        <v>102</v>
      </c>
      <c r="Y20" s="130"/>
      <c r="Z20" s="130"/>
      <c r="AD20" s="130"/>
      <c r="AE20" s="130"/>
      <c r="AI20" s="13" t="s">
        <v>102</v>
      </c>
      <c r="AJ20" s="130"/>
      <c r="AK20" s="130"/>
      <c r="AO20" s="130"/>
      <c r="AP20" s="130"/>
      <c r="AT20" s="13" t="s">
        <v>102</v>
      </c>
      <c r="AU20" s="130"/>
      <c r="AV20" s="130"/>
      <c r="AZ20" s="130"/>
      <c r="BA20" s="130"/>
    </row>
    <row r="21" spans="2:55" ht="15" x14ac:dyDescent="0.25">
      <c r="B21" s="14" t="s">
        <v>58</v>
      </c>
      <c r="C21" s="130"/>
      <c r="D21" s="130"/>
      <c r="H21" s="130"/>
      <c r="I21" s="130"/>
      <c r="M21" s="14" t="s">
        <v>58</v>
      </c>
      <c r="N21" s="149">
        <f>'[2]Liquidity and Funding Plan'!N21</f>
        <v>0</v>
      </c>
      <c r="O21" s="149">
        <f>'[2]Liquidity and Funding Plan'!O21</f>
        <v>0</v>
      </c>
      <c r="P21" s="150"/>
      <c r="Q21" s="150"/>
      <c r="R21" s="150"/>
      <c r="S21" s="149">
        <f>'[2]Liquidity and Funding Plan'!S21</f>
        <v>0</v>
      </c>
      <c r="T21" s="149">
        <f>'[2]Liquidity and Funding Plan'!T21</f>
        <v>0</v>
      </c>
      <c r="X21" s="14" t="s">
        <v>58</v>
      </c>
      <c r="Y21" s="130"/>
      <c r="Z21" s="130"/>
      <c r="AD21" s="130"/>
      <c r="AE21" s="130"/>
      <c r="AI21" s="14" t="s">
        <v>58</v>
      </c>
      <c r="AJ21" s="130"/>
      <c r="AK21" s="130"/>
      <c r="AO21" s="130"/>
      <c r="AP21" s="130"/>
      <c r="AT21" s="14" t="s">
        <v>58</v>
      </c>
      <c r="AU21" s="130"/>
      <c r="AV21" s="130"/>
      <c r="AZ21" s="130"/>
      <c r="BA21" s="130"/>
    </row>
    <row r="22" spans="2:55" ht="15" x14ac:dyDescent="0.25">
      <c r="B22" s="13" t="s">
        <v>102</v>
      </c>
      <c r="C22" s="130"/>
      <c r="D22" s="130"/>
      <c r="H22" s="130"/>
      <c r="I22" s="130"/>
      <c r="M22" s="13" t="s">
        <v>102</v>
      </c>
      <c r="N22" s="130"/>
      <c r="O22" s="130"/>
      <c r="S22" s="130"/>
      <c r="T22" s="130"/>
      <c r="X22" s="13" t="s">
        <v>102</v>
      </c>
      <c r="Y22" s="130"/>
      <c r="Z22" s="130"/>
      <c r="AD22" s="130"/>
      <c r="AE22" s="130"/>
      <c r="AI22" s="13" t="s">
        <v>102</v>
      </c>
      <c r="AJ22" s="130"/>
      <c r="AK22" s="130"/>
      <c r="AO22" s="130"/>
      <c r="AP22" s="130"/>
      <c r="AT22" s="13" t="s">
        <v>102</v>
      </c>
      <c r="AU22" s="130"/>
      <c r="AV22" s="130"/>
      <c r="AZ22" s="130"/>
      <c r="BA22" s="130"/>
    </row>
    <row r="23" spans="2:55" x14ac:dyDescent="0.3">
      <c r="B23" s="13" t="s">
        <v>102</v>
      </c>
      <c r="C23" s="130"/>
      <c r="D23" s="130"/>
      <c r="H23" s="130"/>
      <c r="I23" s="130"/>
      <c r="M23" s="13" t="s">
        <v>102</v>
      </c>
      <c r="N23" s="130"/>
      <c r="O23" s="130"/>
      <c r="S23" s="130"/>
      <c r="T23" s="130"/>
      <c r="X23" s="13" t="s">
        <v>102</v>
      </c>
      <c r="Y23" s="130"/>
      <c r="Z23" s="130"/>
      <c r="AD23" s="130"/>
      <c r="AE23" s="130"/>
      <c r="AI23" s="13" t="s">
        <v>102</v>
      </c>
      <c r="AJ23" s="130"/>
      <c r="AK23" s="130"/>
      <c r="AO23" s="130"/>
      <c r="AP23" s="130"/>
      <c r="AT23" s="13" t="s">
        <v>102</v>
      </c>
      <c r="AU23" s="130"/>
      <c r="AV23" s="130"/>
      <c r="AZ23" s="130"/>
      <c r="BA23" s="130"/>
    </row>
    <row r="24" spans="2:55" ht="15" customHeight="1" x14ac:dyDescent="0.3">
      <c r="B24" s="14" t="s">
        <v>59</v>
      </c>
      <c r="C24" s="130"/>
      <c r="D24" s="130"/>
      <c r="H24" s="130"/>
      <c r="I24" s="130"/>
      <c r="M24" s="14" t="s">
        <v>59</v>
      </c>
      <c r="N24" s="264">
        <v>1.6668527898668664</v>
      </c>
      <c r="O24" s="264">
        <v>1.60136451228662</v>
      </c>
      <c r="P24" s="263"/>
      <c r="Q24" s="263"/>
      <c r="R24" s="263"/>
      <c r="S24" s="264">
        <v>1.6856452213852386</v>
      </c>
      <c r="T24" s="264">
        <v>1.7217680133304212</v>
      </c>
      <c r="X24" s="14" t="s">
        <v>59</v>
      </c>
      <c r="Y24" s="130"/>
      <c r="Z24" s="130"/>
      <c r="AD24" s="130"/>
      <c r="AE24" s="130"/>
      <c r="AI24" s="14" t="s">
        <v>59</v>
      </c>
      <c r="AJ24" s="130"/>
      <c r="AK24" s="130"/>
      <c r="AO24" s="130"/>
      <c r="AP24" s="130"/>
      <c r="AT24" s="14" t="s">
        <v>59</v>
      </c>
      <c r="AU24" s="130"/>
      <c r="AV24" s="130"/>
      <c r="AZ24" s="130"/>
      <c r="BA24" s="130"/>
    </row>
  </sheetData>
  <mergeCells count="5">
    <mergeCell ref="B5:K5"/>
    <mergeCell ref="M5:V5"/>
    <mergeCell ref="X5:AG5"/>
    <mergeCell ref="AI5:AR5"/>
    <mergeCell ref="AT5:BC5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2"/>
  <sheetViews>
    <sheetView topLeftCell="A13" workbookViewId="0">
      <selection activeCell="E31" sqref="E31"/>
    </sheetView>
  </sheetViews>
  <sheetFormatPr defaultRowHeight="14.4" x14ac:dyDescent="0.3"/>
  <cols>
    <col min="1" max="1" width="16" bestFit="1" customWidth="1"/>
    <col min="2" max="2" width="8.21875" bestFit="1" customWidth="1"/>
    <col min="5" max="5" width="7" bestFit="1" customWidth="1"/>
    <col min="7" max="7" width="26.109375" customWidth="1"/>
    <col min="8" max="8" width="9.5546875" customWidth="1"/>
    <col min="10" max="10" width="1.88671875" customWidth="1"/>
    <col min="11" max="11" width="8" customWidth="1"/>
    <col min="13" max="13" width="21.88671875" customWidth="1"/>
    <col min="14" max="15" width="9.109375" customWidth="1"/>
    <col min="16" max="16" width="1.88671875" customWidth="1"/>
    <col min="19" max="19" width="28.88671875" customWidth="1"/>
    <col min="22" max="22" width="1.88671875" customWidth="1"/>
  </cols>
  <sheetData>
    <row r="2" spans="1:23" ht="18" x14ac:dyDescent="0.35">
      <c r="B2" s="217" t="s">
        <v>131</v>
      </c>
      <c r="C2" s="217"/>
      <c r="D2" s="217"/>
      <c r="E2" s="217"/>
      <c r="H2" s="217" t="s">
        <v>35</v>
      </c>
      <c r="I2" s="217"/>
      <c r="J2" s="217"/>
      <c r="K2" s="217"/>
      <c r="N2" s="217" t="s">
        <v>34</v>
      </c>
      <c r="O2" s="217"/>
      <c r="P2" s="217"/>
      <c r="Q2" s="217"/>
      <c r="T2" s="217" t="s">
        <v>1</v>
      </c>
      <c r="U2" s="217"/>
      <c r="V2" s="217"/>
      <c r="W2" s="217"/>
    </row>
    <row r="3" spans="1:23" ht="15" thickBot="1" x14ac:dyDescent="0.35"/>
    <row r="4" spans="1:23" ht="28.8" thickTop="1" thickBot="1" x14ac:dyDescent="0.35">
      <c r="B4" s="1" t="s">
        <v>122</v>
      </c>
      <c r="C4" s="1" t="s">
        <v>2</v>
      </c>
      <c r="D4" s="2"/>
      <c r="E4" s="3" t="s">
        <v>123</v>
      </c>
      <c r="H4" s="1" t="s">
        <v>122</v>
      </c>
      <c r="I4" s="1" t="s">
        <v>2</v>
      </c>
      <c r="J4" s="2"/>
      <c r="K4" s="3" t="s">
        <v>123</v>
      </c>
      <c r="N4" s="1" t="s">
        <v>122</v>
      </c>
      <c r="O4" s="1" t="s">
        <v>2</v>
      </c>
      <c r="P4" s="2"/>
      <c r="Q4" s="3" t="s">
        <v>123</v>
      </c>
      <c r="T4" s="1" t="s">
        <v>122</v>
      </c>
      <c r="U4" s="1" t="s">
        <v>2</v>
      </c>
      <c r="V4" s="2"/>
      <c r="W4" s="3" t="s">
        <v>123</v>
      </c>
    </row>
    <row r="5" spans="1:23" ht="15" thickTop="1" x14ac:dyDescent="0.3">
      <c r="A5" t="s">
        <v>8</v>
      </c>
      <c r="B5" s="55">
        <f t="shared" ref="B5:C8" si="0">H5+N5+T5</f>
        <v>5800.9868869227903</v>
      </c>
      <c r="C5" s="55">
        <f t="shared" si="0"/>
        <v>6237.6717824736734</v>
      </c>
      <c r="D5" s="15"/>
      <c r="E5" s="60">
        <f>(C5-B5)/B5</f>
        <v>7.5277690514230472E-2</v>
      </c>
      <c r="G5" t="s">
        <v>8</v>
      </c>
      <c r="H5" s="55">
        <f>SUM('[12]AN01010100:EL'!$E$271:$P$274)/1000</f>
        <v>1825.7753814391001</v>
      </c>
      <c r="I5" s="55">
        <f>'P&amp;L'!BQ9</f>
        <v>1806.7620659580405</v>
      </c>
      <c r="J5" s="15"/>
      <c r="K5" s="60">
        <f>(I5-H5)/H5</f>
        <v>-1.0413830569931932E-2</v>
      </c>
      <c r="M5" t="s">
        <v>8</v>
      </c>
      <c r="N5" s="55">
        <f>SUM('[13]AN01010100:EL'!$E$271:$P$274)/1000</f>
        <v>-82.216456313519998</v>
      </c>
      <c r="O5" s="55">
        <f>'P&amp;L'!AJ9</f>
        <v>-118.02602609925735</v>
      </c>
      <c r="P5" s="15"/>
      <c r="Q5" s="60">
        <f>(O5-N5)/N5</f>
        <v>0.43555233819836486</v>
      </c>
      <c r="S5" t="s">
        <v>8</v>
      </c>
      <c r="T5" s="224">
        <v>4057.4279617972106</v>
      </c>
      <c r="U5" s="221">
        <v>4548.9357426148899</v>
      </c>
      <c r="V5" s="15"/>
      <c r="W5" s="60">
        <f>(U5-T5)/T5</f>
        <v>0.12113777137770038</v>
      </c>
    </row>
    <row r="6" spans="1:23" x14ac:dyDescent="0.3">
      <c r="A6" t="s">
        <v>9</v>
      </c>
      <c r="B6" s="55">
        <f t="shared" si="0"/>
        <v>1071.1094424659805</v>
      </c>
      <c r="C6" s="55">
        <f t="shared" si="0"/>
        <v>1159.0164211147971</v>
      </c>
      <c r="D6" s="15"/>
      <c r="E6" s="60">
        <f t="shared" ref="E6:E8" si="1">(C6-B6)/B6</f>
        <v>8.2070958544097322E-2</v>
      </c>
      <c r="G6" t="s">
        <v>9</v>
      </c>
      <c r="H6" s="55">
        <f>SUM('[12]AN01010100:EL'!$E$276:$P$375)/1000</f>
        <v>619.27365914701045</v>
      </c>
      <c r="I6" s="55">
        <f>'P&amp;L'!BQ10</f>
        <v>666.86375129077089</v>
      </c>
      <c r="J6" s="15"/>
      <c r="K6" s="60">
        <f t="shared" ref="K6:K8" si="2">(I6-H6)/H6</f>
        <v>7.6848242196044941E-2</v>
      </c>
      <c r="M6" t="s">
        <v>9</v>
      </c>
      <c r="N6" s="55">
        <f>SUM('[13]AN01010100:EL'!$E$276:$P$375)/1000</f>
        <v>-42.03683124999997</v>
      </c>
      <c r="O6" s="55">
        <f>'P&amp;L'!AJ10</f>
        <v>-88.226061950000016</v>
      </c>
      <c r="P6" s="15"/>
      <c r="Q6" s="60">
        <f t="shared" ref="Q6:Q8" si="3">(O6-N6)/N6</f>
        <v>1.0987800299529018</v>
      </c>
      <c r="S6" t="s">
        <v>9</v>
      </c>
      <c r="T6" s="224">
        <v>493.87261456896988</v>
      </c>
      <c r="U6" s="221">
        <v>580.37873177402628</v>
      </c>
      <c r="V6" s="15"/>
      <c r="W6" s="60">
        <f t="shared" ref="W6:W8" si="4">(U6-T6)/T6</f>
        <v>0.17515876493892074</v>
      </c>
    </row>
    <row r="7" spans="1:23" x14ac:dyDescent="0.3">
      <c r="A7" t="s">
        <v>100</v>
      </c>
      <c r="B7" s="55">
        <f t="shared" si="0"/>
        <v>165.43399616632209</v>
      </c>
      <c r="C7" s="55">
        <f t="shared" si="0"/>
        <v>366.7016925479968</v>
      </c>
      <c r="D7" s="15"/>
      <c r="E7" s="60">
        <f t="shared" si="1"/>
        <v>1.2166042110191582</v>
      </c>
      <c r="G7" t="s">
        <v>100</v>
      </c>
      <c r="H7" s="55">
        <f>SUM('[12]AN01010100:EL'!$E$377:$P$383)/1000</f>
        <v>-19.942834228677899</v>
      </c>
      <c r="I7" s="55">
        <f>'P&amp;L'!BQ11</f>
        <v>44.112050285931666</v>
      </c>
      <c r="J7" s="15"/>
      <c r="K7" s="60">
        <f t="shared" si="2"/>
        <v>-3.2119248337579975</v>
      </c>
      <c r="M7" t="s">
        <v>100</v>
      </c>
      <c r="N7" s="55">
        <f>SUM('[13]AN01010100:EL'!$E$377:$P$383)/1000</f>
        <v>4.9882288200000007</v>
      </c>
      <c r="O7" s="55">
        <f>'P&amp;L'!AJ11</f>
        <v>-1.315426930000001E-3</v>
      </c>
      <c r="P7" s="15"/>
      <c r="Q7" s="60">
        <f t="shared" si="3"/>
        <v>-1.0002637062126591</v>
      </c>
      <c r="S7" t="s">
        <v>100</v>
      </c>
      <c r="T7" s="224">
        <v>180.388601575</v>
      </c>
      <c r="U7" s="221">
        <v>322.5909576889951</v>
      </c>
      <c r="V7" s="15"/>
      <c r="W7" s="60">
        <f t="shared" si="4"/>
        <v>0.78831120632016083</v>
      </c>
    </row>
    <row r="8" spans="1:23" x14ac:dyDescent="0.3">
      <c r="A8" s="6" t="s">
        <v>11</v>
      </c>
      <c r="B8" s="56">
        <f t="shared" si="0"/>
        <v>7037.5303255550934</v>
      </c>
      <c r="C8" s="56">
        <f t="shared" si="0"/>
        <v>7763.3898961364666</v>
      </c>
      <c r="D8" s="18"/>
      <c r="E8" s="61">
        <f t="shared" si="1"/>
        <v>0.1031412352065595</v>
      </c>
      <c r="G8" s="6" t="s">
        <v>11</v>
      </c>
      <c r="H8" s="56">
        <f>H5+H6+H7</f>
        <v>2425.1062063574327</v>
      </c>
      <c r="I8" s="56">
        <f>I5+I6+I7</f>
        <v>2517.7378675347431</v>
      </c>
      <c r="J8" s="18"/>
      <c r="K8" s="61">
        <f t="shared" si="2"/>
        <v>3.8196950275610979E-2</v>
      </c>
      <c r="M8" s="6" t="s">
        <v>11</v>
      </c>
      <c r="N8" s="56">
        <f>N5+N6+N7</f>
        <v>-119.26505874351996</v>
      </c>
      <c r="O8" s="56">
        <f>O5+O6+O7</f>
        <v>-206.25340347618737</v>
      </c>
      <c r="P8" s="18"/>
      <c r="Q8" s="61">
        <f t="shared" si="3"/>
        <v>0.72936990640097066</v>
      </c>
      <c r="S8" s="6" t="s">
        <v>11</v>
      </c>
      <c r="T8" s="225">
        <v>4731.6891779411808</v>
      </c>
      <c r="U8" s="222">
        <v>5451.9054320779114</v>
      </c>
      <c r="V8" s="18"/>
      <c r="W8" s="61">
        <f t="shared" si="4"/>
        <v>0.15221123515346924</v>
      </c>
    </row>
    <row r="9" spans="1:23" x14ac:dyDescent="0.3">
      <c r="B9" s="55"/>
      <c r="C9" s="55"/>
      <c r="D9" s="15"/>
      <c r="E9" s="60"/>
      <c r="H9" s="55"/>
      <c r="I9" s="55"/>
      <c r="J9" s="15"/>
      <c r="K9" s="60"/>
      <c r="N9" s="55"/>
      <c r="O9" s="55"/>
      <c r="P9" s="15"/>
      <c r="Q9" s="60"/>
      <c r="T9" s="224"/>
      <c r="U9" s="221"/>
      <c r="V9" s="15"/>
      <c r="W9" s="60"/>
    </row>
    <row r="10" spans="1:23" x14ac:dyDescent="0.3">
      <c r="A10" t="s">
        <v>12</v>
      </c>
      <c r="B10" s="55">
        <f t="shared" ref="B10:C12" si="5">H10+N10+T10</f>
        <v>-1249.43593874047</v>
      </c>
      <c r="C10" s="55">
        <f t="shared" si="5"/>
        <v>-1475.3373770095618</v>
      </c>
      <c r="D10" s="15"/>
      <c r="E10" s="60">
        <f t="shared" ref="E10:E12" si="6">(C10-B10)/B10</f>
        <v>0.18080273767122332</v>
      </c>
      <c r="G10" t="s">
        <v>12</v>
      </c>
      <c r="H10" s="55">
        <f>SUM('[12]AN01010100:EL'!$E$385:$P$385)/1000</f>
        <v>-870.90846351327002</v>
      </c>
      <c r="I10" s="55">
        <f>'P&amp;L'!BQ14</f>
        <v>-997.57592879037702</v>
      </c>
      <c r="J10" s="15"/>
      <c r="K10" s="60">
        <f t="shared" ref="K10:K12" si="7">(I10-H10)/H10</f>
        <v>0.14544291459302941</v>
      </c>
      <c r="M10" t="s">
        <v>12</v>
      </c>
      <c r="N10" s="55">
        <f>SUM('[13]AN01010100:EL'!$E$385:$P$385)/1000</f>
        <v>-3.8782858399999993</v>
      </c>
      <c r="O10" s="55">
        <f>'P&amp;L'!AJ14</f>
        <v>-16.322973144380008</v>
      </c>
      <c r="P10" s="15"/>
      <c r="Q10" s="60">
        <f t="shared" ref="Q10:Q12" si="8">(O10-N10)/N10</f>
        <v>3.2088112681194252</v>
      </c>
      <c r="S10" t="s">
        <v>12</v>
      </c>
      <c r="T10" s="224">
        <v>-374.64918938720001</v>
      </c>
      <c r="U10" s="221">
        <v>-461.43847507480478</v>
      </c>
      <c r="V10" s="15"/>
      <c r="W10" s="60">
        <f t="shared" ref="W10:W12" si="9">(U10-T10)/T10</f>
        <v>0.23165480707315245</v>
      </c>
    </row>
    <row r="11" spans="1:23" x14ac:dyDescent="0.3">
      <c r="A11" t="s">
        <v>13</v>
      </c>
      <c r="B11" s="55">
        <f t="shared" si="5"/>
        <v>-1237.8392535450585</v>
      </c>
      <c r="C11" s="55">
        <f t="shared" si="5"/>
        <v>-1463.1215876373719</v>
      </c>
      <c r="D11" s="15"/>
      <c r="E11" s="60">
        <f t="shared" si="6"/>
        <v>0.18199643729759374</v>
      </c>
      <c r="G11" t="s">
        <v>13</v>
      </c>
      <c r="H11" s="55">
        <f>SUM('[12]AN01010100:EL'!$E$386:$P$387)/1000</f>
        <v>-882.94345519930846</v>
      </c>
      <c r="I11" s="55">
        <f>'P&amp;L'!BQ15</f>
        <v>-970.4087587063118</v>
      </c>
      <c r="J11" s="15"/>
      <c r="K11" s="60">
        <f t="shared" si="7"/>
        <v>9.9061047445285877E-2</v>
      </c>
      <c r="M11" t="s">
        <v>13</v>
      </c>
      <c r="N11" s="55">
        <f>SUM('[13]AN01010100:EL'!$E$386:$P$387)/1000</f>
        <v>-95.714078889999968</v>
      </c>
      <c r="O11" s="55">
        <f>'P&amp;L'!AJ15</f>
        <v>-188.29224296283996</v>
      </c>
      <c r="P11" s="15"/>
      <c r="Q11" s="60">
        <f t="shared" si="8"/>
        <v>0.96723664006876209</v>
      </c>
      <c r="S11" t="s">
        <v>13</v>
      </c>
      <c r="T11" s="224">
        <v>-259.18171945575</v>
      </c>
      <c r="U11" s="221">
        <v>-304.42058596822022</v>
      </c>
      <c r="V11" s="15"/>
      <c r="W11" s="60">
        <f t="shared" si="9"/>
        <v>0.17454497411108441</v>
      </c>
    </row>
    <row r="12" spans="1:23" x14ac:dyDescent="0.3">
      <c r="A12" s="6" t="s">
        <v>14</v>
      </c>
      <c r="B12" s="56">
        <f t="shared" si="5"/>
        <v>-2487.2751922855286</v>
      </c>
      <c r="C12" s="56">
        <f t="shared" si="5"/>
        <v>-2938.458964646934</v>
      </c>
      <c r="D12" s="18"/>
      <c r="E12" s="61">
        <f t="shared" si="6"/>
        <v>0.1813968047286387</v>
      </c>
      <c r="G12" s="6" t="s">
        <v>14</v>
      </c>
      <c r="H12" s="56">
        <f>H10+H11</f>
        <v>-1753.8519187125785</v>
      </c>
      <c r="I12" s="56">
        <f>I10+I11</f>
        <v>-1967.9846874966888</v>
      </c>
      <c r="J12" s="18"/>
      <c r="K12" s="61">
        <f t="shared" si="7"/>
        <v>0.12209284404198463</v>
      </c>
      <c r="M12" s="6" t="s">
        <v>14</v>
      </c>
      <c r="N12" s="56">
        <f>N10+N11</f>
        <v>-99.592364729999971</v>
      </c>
      <c r="O12" s="56">
        <f>O10+O11</f>
        <v>-204.61521610721996</v>
      </c>
      <c r="P12" s="18"/>
      <c r="Q12" s="61">
        <f t="shared" si="8"/>
        <v>1.054527138319713</v>
      </c>
      <c r="S12" s="6" t="s">
        <v>14</v>
      </c>
      <c r="T12" s="225">
        <v>-633.83090884295007</v>
      </c>
      <c r="U12" s="222">
        <v>-765.85906104302501</v>
      </c>
      <c r="V12" s="18"/>
      <c r="W12" s="61">
        <f t="shared" si="9"/>
        <v>0.20830185205245133</v>
      </c>
    </row>
    <row r="13" spans="1:23" ht="15" thickBot="1" x14ac:dyDescent="0.35">
      <c r="B13" s="55"/>
      <c r="C13" s="55"/>
      <c r="D13" s="15"/>
      <c r="E13" s="60"/>
      <c r="H13" s="55"/>
      <c r="I13" s="55"/>
      <c r="J13" s="15"/>
      <c r="K13" s="60"/>
      <c r="N13" s="55"/>
      <c r="O13" s="55"/>
      <c r="P13" s="15"/>
      <c r="Q13" s="60"/>
      <c r="T13" s="224"/>
      <c r="U13" s="221"/>
      <c r="V13" s="15"/>
      <c r="W13" s="60"/>
    </row>
    <row r="14" spans="1:23" ht="24" thickTop="1" thickBot="1" x14ac:dyDescent="0.35">
      <c r="A14" s="8" t="s">
        <v>15</v>
      </c>
      <c r="B14" s="57">
        <f t="shared" ref="B14:C19" si="10">H14+N14+T14</f>
        <v>4550.2551332695657</v>
      </c>
      <c r="C14" s="57">
        <f t="shared" si="10"/>
        <v>4824.9309314895336</v>
      </c>
      <c r="D14" s="17"/>
      <c r="E14" s="65">
        <f t="shared" ref="E14:E19" si="11">(C14-B14)/B14</f>
        <v>6.0364922443942343E-2</v>
      </c>
      <c r="G14" s="8" t="s">
        <v>15</v>
      </c>
      <c r="H14" s="57">
        <f>H8+H12</f>
        <v>671.25428764485423</v>
      </c>
      <c r="I14" s="57">
        <f>I8+I12</f>
        <v>549.75318003805432</v>
      </c>
      <c r="J14" s="17"/>
      <c r="K14" s="65">
        <f t="shared" ref="K14:K19" si="12">(I14-H14)/H14</f>
        <v>-0.18100608047226874</v>
      </c>
      <c r="M14" s="8" t="s">
        <v>15</v>
      </c>
      <c r="N14" s="57">
        <f>N8+N12</f>
        <v>-218.85742347351993</v>
      </c>
      <c r="O14" s="57">
        <f>O8+O12</f>
        <v>-410.86861958340734</v>
      </c>
      <c r="P14" s="17"/>
      <c r="Q14" s="65">
        <f t="shared" ref="Q14:Q19" si="13">(O14-N14)/N14</f>
        <v>0.8773346275508872</v>
      </c>
      <c r="S14" s="8" t="s">
        <v>15</v>
      </c>
      <c r="T14" s="226">
        <v>4097.8582690982312</v>
      </c>
      <c r="U14" s="223">
        <v>4686.0463710348868</v>
      </c>
      <c r="V14" s="17"/>
      <c r="W14" s="65">
        <f t="shared" ref="W14" si="14">(U14-T14)/T14</f>
        <v>0.14353549178900504</v>
      </c>
    </row>
    <row r="15" spans="1:23" ht="31.8" customHeight="1" thickTop="1" x14ac:dyDescent="0.3">
      <c r="A15" s="9" t="s">
        <v>16</v>
      </c>
      <c r="B15" s="153">
        <f t="shared" si="10"/>
        <v>-2902.99492389119</v>
      </c>
      <c r="C15" s="76">
        <f t="shared" si="10"/>
        <v>-3251.6304567405568</v>
      </c>
      <c r="E15" s="60">
        <f t="shared" si="11"/>
        <v>0.12009512313650689</v>
      </c>
      <c r="G15" s="9" t="s">
        <v>16</v>
      </c>
      <c r="H15" s="153">
        <f>SUM('[12]AN01010100:EL'!$E$389:$P$392,'[12]AN01010100:EL'!$E$394:$P$394)/1000</f>
        <v>-48.619769152810115</v>
      </c>
      <c r="I15" s="76">
        <f>'P&amp;L'!BQ19</f>
        <v>-29.596519950966922</v>
      </c>
      <c r="K15" s="60">
        <f t="shared" si="12"/>
        <v>-0.39126572448449587</v>
      </c>
      <c r="M15" s="9" t="s">
        <v>16</v>
      </c>
      <c r="N15" s="153">
        <f>SUM('[13]AN01010100:EL'!$E$389:$P$392,'[13]AN01010100:EL'!$E$394:$P$394)/1000</f>
        <v>0</v>
      </c>
      <c r="O15" s="153">
        <f>'P&amp;L'!AJ19</f>
        <v>-7.4884530000000005E-2</v>
      </c>
      <c r="Q15" s="60">
        <f>IFERROR((O15-N15)/N15,0)</f>
        <v>0</v>
      </c>
      <c r="S15" s="9" t="s">
        <v>16</v>
      </c>
      <c r="T15" s="224">
        <v>-2854.3751547383799</v>
      </c>
      <c r="U15" s="221">
        <v>-3221.95905225959</v>
      </c>
      <c r="W15" s="60">
        <f>IFERROR((U15-T15)/T15,0)</f>
        <v>0.12877911192262365</v>
      </c>
    </row>
    <row r="16" spans="1:23" ht="31.8" customHeight="1" thickBot="1" x14ac:dyDescent="0.35">
      <c r="A16" s="10" t="s">
        <v>17</v>
      </c>
      <c r="B16" s="153">
        <f t="shared" si="10"/>
        <v>35.448990690719803</v>
      </c>
      <c r="C16" s="76">
        <f t="shared" si="10"/>
        <v>-80.51566518205999</v>
      </c>
      <c r="E16" s="60">
        <f t="shared" si="11"/>
        <v>-3.2713105116174206</v>
      </c>
      <c r="G16" s="10" t="s">
        <v>17</v>
      </c>
      <c r="H16" s="153">
        <f>SUM('[12]AN01010100:EL'!$E$396:$P$397)/1000</f>
        <v>58.050888657390018</v>
      </c>
      <c r="I16" s="76">
        <f>'P&amp;L'!BQ20</f>
        <v>-20.113713672219991</v>
      </c>
      <c r="K16" s="60">
        <f t="shared" si="12"/>
        <v>-1.3464841647976988</v>
      </c>
      <c r="M16" s="10" t="s">
        <v>17</v>
      </c>
      <c r="N16" s="153">
        <f>SUM('[13]AN01010100:EL'!$E$396:$P$397)/1000</f>
        <v>-0.30993807101021409</v>
      </c>
      <c r="O16" s="76">
        <f>'P&amp;L'!AJ20</f>
        <v>-6.2610293800000001</v>
      </c>
      <c r="Q16" s="60">
        <f t="shared" si="13"/>
        <v>19.200904521321828</v>
      </c>
      <c r="S16" s="10" t="s">
        <v>17</v>
      </c>
      <c r="T16" s="224">
        <v>-22.29195989566</v>
      </c>
      <c r="U16" s="221">
        <v>-54.14092212984</v>
      </c>
      <c r="W16" s="60">
        <f t="shared" ref="W16:W19" si="15">(U16-T16)/T16</f>
        <v>1.4287196990866937</v>
      </c>
    </row>
    <row r="17" spans="1:23" ht="24" thickTop="1" thickBot="1" x14ac:dyDescent="0.35">
      <c r="A17" s="8" t="s">
        <v>18</v>
      </c>
      <c r="B17" s="57">
        <f t="shared" si="10"/>
        <v>1682.7092000690952</v>
      </c>
      <c r="C17" s="57">
        <f t="shared" si="10"/>
        <v>1492.7848095669169</v>
      </c>
      <c r="D17" s="17"/>
      <c r="E17" s="65">
        <f t="shared" si="11"/>
        <v>-0.11286821899730486</v>
      </c>
      <c r="G17" s="8" t="s">
        <v>18</v>
      </c>
      <c r="H17" s="57">
        <f>H14+H15+H16</f>
        <v>680.68540714943413</v>
      </c>
      <c r="I17" s="57">
        <f>I14+I15+I16</f>
        <v>500.0429464148674</v>
      </c>
      <c r="J17" s="17"/>
      <c r="K17" s="65">
        <f t="shared" si="12"/>
        <v>-0.26538318412180889</v>
      </c>
      <c r="M17" s="8" t="s">
        <v>18</v>
      </c>
      <c r="N17" s="57">
        <f>N14+N15+N16</f>
        <v>-219.16736154453014</v>
      </c>
      <c r="O17" s="57">
        <f>O14+O15+O16</f>
        <v>-417.20453349340738</v>
      </c>
      <c r="P17" s="17"/>
      <c r="Q17" s="65">
        <f t="shared" si="13"/>
        <v>0.9035887942130485</v>
      </c>
      <c r="S17" s="8" t="s">
        <v>18</v>
      </c>
      <c r="T17" s="226">
        <v>1221.1911544641912</v>
      </c>
      <c r="U17" s="223">
        <v>1409.9463966454568</v>
      </c>
      <c r="V17" s="17"/>
      <c r="W17" s="65">
        <f t="shared" si="15"/>
        <v>0.1545664996763621</v>
      </c>
    </row>
    <row r="18" spans="1:23" ht="16.8" thickTop="1" thickBot="1" x14ac:dyDescent="0.35">
      <c r="A18" s="11" t="s">
        <v>19</v>
      </c>
      <c r="B18" s="152">
        <f t="shared" si="10"/>
        <v>-449.68255399381599</v>
      </c>
      <c r="C18" s="55">
        <f t="shared" si="10"/>
        <v>-477.27367509823699</v>
      </c>
      <c r="E18" s="60">
        <f t="shared" si="11"/>
        <v>6.1356885783922226E-2</v>
      </c>
      <c r="G18" s="11" t="s">
        <v>19</v>
      </c>
      <c r="H18" s="152">
        <f>SUM('[12]AN01010100:EL'!$E$399:$P$399)/1000</f>
        <v>-147.61301711429005</v>
      </c>
      <c r="I18" s="55">
        <f>'P&amp;L'!BQ22</f>
        <v>-83.189664072941028</v>
      </c>
      <c r="K18" s="60">
        <f t="shared" si="12"/>
        <v>-0.43643409165919933</v>
      </c>
      <c r="M18" s="11" t="s">
        <v>19</v>
      </c>
      <c r="N18" s="152">
        <f>SUM('[13]AN01010100:EL'!$E$399:$P$399)/1000</f>
        <v>147.55577277581415</v>
      </c>
      <c r="O18" s="55">
        <f>'P&amp;L'!AJ22</f>
        <v>103.42620308971033</v>
      </c>
      <c r="Q18" s="60">
        <f t="shared" si="13"/>
        <v>-0.29907043862764476</v>
      </c>
      <c r="S18" s="11" t="s">
        <v>19</v>
      </c>
      <c r="T18" s="224">
        <v>-449.62530965534006</v>
      </c>
      <c r="U18" s="221">
        <v>-497.51021411500631</v>
      </c>
      <c r="W18" s="60">
        <f t="shared" si="15"/>
        <v>0.10649957516042054</v>
      </c>
    </row>
    <row r="19" spans="1:23" ht="24" thickTop="1" thickBot="1" x14ac:dyDescent="0.35">
      <c r="A19" s="8" t="s">
        <v>20</v>
      </c>
      <c r="B19" s="57">
        <f t="shared" si="10"/>
        <v>1233.0266460752791</v>
      </c>
      <c r="C19" s="57">
        <f t="shared" si="10"/>
        <v>1015.5111344686799</v>
      </c>
      <c r="D19" s="17"/>
      <c r="E19" s="65">
        <f t="shared" si="11"/>
        <v>-0.17640779483472691</v>
      </c>
      <c r="G19" s="8" t="s">
        <v>20</v>
      </c>
      <c r="H19" s="57">
        <f>H17+H18</f>
        <v>533.07239003514405</v>
      </c>
      <c r="I19" s="57">
        <f>I17+I18</f>
        <v>416.85328234192639</v>
      </c>
      <c r="J19" s="17"/>
      <c r="K19" s="65">
        <f t="shared" si="12"/>
        <v>-0.21801749605819137</v>
      </c>
      <c r="M19" s="8" t="s">
        <v>20</v>
      </c>
      <c r="N19" s="57">
        <f>N17+N18</f>
        <v>-71.61158876871599</v>
      </c>
      <c r="O19" s="57">
        <f>O17+O18</f>
        <v>-313.77833040369705</v>
      </c>
      <c r="P19" s="17"/>
      <c r="Q19" s="65">
        <f t="shared" si="13"/>
        <v>3.3816697241155644</v>
      </c>
      <c r="S19" s="8" t="s">
        <v>20</v>
      </c>
      <c r="T19" s="226">
        <v>771.56584480885112</v>
      </c>
      <c r="U19" s="223">
        <v>912.43618253045054</v>
      </c>
      <c r="V19" s="17"/>
      <c r="W19" s="65">
        <f t="shared" si="15"/>
        <v>0.18257720798475577</v>
      </c>
    </row>
    <row r="20" spans="1:23" ht="15" thickTop="1" x14ac:dyDescent="0.3"/>
    <row r="23" spans="1:23" x14ac:dyDescent="0.3">
      <c r="A23" s="68" t="s">
        <v>73</v>
      </c>
      <c r="B23" s="67"/>
      <c r="G23" s="68" t="s">
        <v>73</v>
      </c>
      <c r="H23" s="67">
        <f>SUM('[12]AN01010100:EL'!$E$271:$P$405)/1000</f>
        <v>533.07239003514292</v>
      </c>
      <c r="M23" s="68" t="s">
        <v>73</v>
      </c>
      <c r="N23" s="67">
        <f>SUM('[13]AN01010100:EL'!$E$271:$P$405)/1000</f>
        <v>-71.611588768716061</v>
      </c>
    </row>
    <row r="25" spans="1:23" ht="15" thickBot="1" x14ac:dyDescent="0.35"/>
    <row r="26" spans="1:23" ht="32.4" thickTop="1" thickBot="1" x14ac:dyDescent="0.35">
      <c r="A26" s="148" t="s">
        <v>119</v>
      </c>
      <c r="B26" s="57">
        <f t="shared" ref="B26:C28" si="16">H26+N26+T26</f>
        <v>79399.380165903465</v>
      </c>
      <c r="C26" s="57">
        <f t="shared" si="16"/>
        <v>92421.456645239377</v>
      </c>
      <c r="E26" s="65">
        <f t="shared" ref="E26:E28" si="17">(C26-B26)/B26</f>
        <v>0.16400728131789613</v>
      </c>
      <c r="G26" s="148" t="s">
        <v>119</v>
      </c>
      <c r="H26" s="57">
        <f>(SUM('[12]AN01010100:EL'!$BP$16:$BP$57)/1000)-N26</f>
        <v>53096.620255281108</v>
      </c>
      <c r="I26" s="57">
        <f>Volumes!AJ22</f>
        <v>55397.033500803365</v>
      </c>
      <c r="K26" s="65">
        <f t="shared" ref="K26:K28" si="18">(I26-H26)/H26</f>
        <v>4.3325040924680189E-2</v>
      </c>
      <c r="M26" s="148" t="s">
        <v>119</v>
      </c>
      <c r="N26" s="57">
        <v>300</v>
      </c>
      <c r="O26" s="57">
        <f>Volumes!Y22</f>
        <v>300</v>
      </c>
      <c r="Q26" s="65">
        <f t="shared" ref="Q26:Q28" si="19">(O26-N26)/N26</f>
        <v>0</v>
      </c>
      <c r="S26" s="148" t="s">
        <v>119</v>
      </c>
      <c r="T26" s="57">
        <f>'[14]2014 Data'!Q26</f>
        <v>26002.759910622361</v>
      </c>
      <c r="U26" s="57">
        <f>Volumes!N22</f>
        <v>36724.423144436012</v>
      </c>
      <c r="W26" s="65">
        <f t="shared" ref="W26" si="20">(U26-T26)/T26</f>
        <v>0.4123278940645741</v>
      </c>
    </row>
    <row r="27" spans="1:23" ht="32.4" thickTop="1" thickBot="1" x14ac:dyDescent="0.35">
      <c r="A27" s="21" t="s">
        <v>43</v>
      </c>
      <c r="B27" s="76">
        <f t="shared" si="16"/>
        <v>-3974.7782860892703</v>
      </c>
      <c r="C27" s="76">
        <f t="shared" si="16"/>
        <v>-3925.475890469118</v>
      </c>
      <c r="E27" s="60">
        <f t="shared" si="17"/>
        <v>-1.2403810243378445E-2</v>
      </c>
      <c r="G27" s="21" t="s">
        <v>43</v>
      </c>
      <c r="H27" s="76">
        <f>SUM('[12]AN01010100:EL'!$BP$89:$BP$93)/1000</f>
        <v>-725.96409874827009</v>
      </c>
      <c r="I27" s="76">
        <f>Volumes!AJ23</f>
        <v>-653.5089871818891</v>
      </c>
      <c r="K27" s="60">
        <f t="shared" si="18"/>
        <v>-9.9805364605922459E-2</v>
      </c>
      <c r="M27" s="21" t="s">
        <v>43</v>
      </c>
      <c r="N27" s="76">
        <v>0</v>
      </c>
      <c r="O27" s="76">
        <f>Volumes!Y23</f>
        <v>0</v>
      </c>
      <c r="Q27" s="60">
        <f>IFERROR((O27-N27)/N27,0)</f>
        <v>0</v>
      </c>
      <c r="S27" s="21" t="s">
        <v>43</v>
      </c>
      <c r="T27" s="76">
        <f>'[14]2014 Data'!Q27</f>
        <v>-3248.814187341</v>
      </c>
      <c r="U27" s="76">
        <f>Volumes!N23</f>
        <v>-3271.9669032872289</v>
      </c>
      <c r="W27" s="60">
        <f>IFERROR((U27-T27)/T27,0)</f>
        <v>7.1265128170282669E-3</v>
      </c>
    </row>
    <row r="28" spans="1:23" ht="16.8" thickTop="1" thickBot="1" x14ac:dyDescent="0.35">
      <c r="A28" s="22" t="s">
        <v>50</v>
      </c>
      <c r="B28" s="57">
        <f t="shared" si="16"/>
        <v>75424.601879814203</v>
      </c>
      <c r="C28" s="57">
        <f t="shared" si="16"/>
        <v>88495.980754770266</v>
      </c>
      <c r="E28" s="65">
        <f t="shared" si="17"/>
        <v>0.17330391608542703</v>
      </c>
      <c r="G28" s="22" t="s">
        <v>50</v>
      </c>
      <c r="H28" s="57">
        <f>H26+H27</f>
        <v>52370.656156532837</v>
      </c>
      <c r="I28" s="57">
        <f>Volumes!AJ24</f>
        <v>54743.52451362148</v>
      </c>
      <c r="K28" s="65">
        <f t="shared" si="18"/>
        <v>4.5309120244670549E-2</v>
      </c>
      <c r="M28" s="22" t="s">
        <v>50</v>
      </c>
      <c r="N28" s="57">
        <f>N26+N27</f>
        <v>300</v>
      </c>
      <c r="O28" s="57">
        <f>Volumes!Y24</f>
        <v>300</v>
      </c>
      <c r="Q28" s="65">
        <f t="shared" si="19"/>
        <v>0</v>
      </c>
      <c r="S28" s="22" t="s">
        <v>50</v>
      </c>
      <c r="T28" s="57">
        <f>T26+T27</f>
        <v>22753.945723281362</v>
      </c>
      <c r="U28" s="57">
        <f>U26+U27</f>
        <v>33452.456241148786</v>
      </c>
      <c r="W28" s="65">
        <f t="shared" ref="W28" si="21">(U28-T28)/T28</f>
        <v>0.47018265086749028</v>
      </c>
    </row>
    <row r="29" spans="1:23" ht="15" thickTop="1" x14ac:dyDescent="0.3"/>
    <row r="30" spans="1:23" ht="15" thickBot="1" x14ac:dyDescent="0.35"/>
    <row r="31" spans="1:23" ht="16.8" thickTop="1" thickBot="1" x14ac:dyDescent="0.35">
      <c r="A31" s="154" t="s">
        <v>27</v>
      </c>
      <c r="B31" s="57">
        <f>H31+N31+T31</f>
        <v>86043.594939599599</v>
      </c>
      <c r="C31" s="57">
        <f>I31+O31+U31</f>
        <v>89966.126724348549</v>
      </c>
      <c r="E31" s="65">
        <f t="shared" ref="E31" si="22">(C31-B31)/B31</f>
        <v>4.5587725472215179E-2</v>
      </c>
      <c r="G31" s="154" t="s">
        <v>27</v>
      </c>
      <c r="H31" s="57">
        <v>55088</v>
      </c>
      <c r="I31" s="57">
        <f>'Capital Plan'!AU11</f>
        <v>54553.853103290734</v>
      </c>
      <c r="K31" s="65">
        <f t="shared" ref="K31" si="23">(I31-H31)/H31</f>
        <v>-9.6962477619312003E-3</v>
      </c>
      <c r="M31" s="154" t="s">
        <v>27</v>
      </c>
      <c r="N31" s="57">
        <v>127</v>
      </c>
      <c r="O31" s="57">
        <f>'Capital Plan'!AJ11</f>
        <v>114</v>
      </c>
      <c r="Q31" s="65">
        <f t="shared" ref="Q31" si="24">(O31-N31)/N31</f>
        <v>-0.10236220472440945</v>
      </c>
      <c r="S31" s="154" t="s">
        <v>27</v>
      </c>
      <c r="T31" s="57">
        <f>'[14]2014 Data'!Q31</f>
        <v>30828.594939599599</v>
      </c>
      <c r="U31" s="57">
        <f>'Capital Plan'!N11</f>
        <v>35298.273621057822</v>
      </c>
      <c r="W31" s="65">
        <f t="shared" ref="W31" si="25">(U31-T31)/T31</f>
        <v>0.14498483275722959</v>
      </c>
    </row>
    <row r="32" spans="1:23" ht="15" thickTop="1" x14ac:dyDescent="0.3"/>
  </sheetData>
  <mergeCells count="4">
    <mergeCell ref="H2:K2"/>
    <mergeCell ref="N2:Q2"/>
    <mergeCell ref="T2:W2"/>
    <mergeCell ref="B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workbookViewId="0">
      <selection activeCell="B19" sqref="B19"/>
    </sheetView>
  </sheetViews>
  <sheetFormatPr defaultRowHeight="14.4" x14ac:dyDescent="0.3"/>
  <cols>
    <col min="2" max="2" width="27.21875" customWidth="1"/>
    <col min="3" max="6" width="14" customWidth="1"/>
  </cols>
  <sheetData>
    <row r="1" spans="2:6" ht="23.4" thickTop="1" x14ac:dyDescent="0.3">
      <c r="B1" s="172"/>
      <c r="C1" s="173" t="s">
        <v>2</v>
      </c>
      <c r="D1" s="173" t="s">
        <v>3</v>
      </c>
      <c r="E1" s="173" t="s">
        <v>5</v>
      </c>
      <c r="F1" s="173" t="s">
        <v>6</v>
      </c>
    </row>
    <row r="2" spans="2:6" ht="22.8" x14ac:dyDescent="0.3">
      <c r="B2" s="174"/>
      <c r="C2" s="175"/>
      <c r="D2" s="175"/>
      <c r="E2" s="175"/>
      <c r="F2" s="175"/>
    </row>
    <row r="3" spans="2:6" ht="17.399999999999999" x14ac:dyDescent="0.3">
      <c r="B3" s="176" t="s">
        <v>124</v>
      </c>
      <c r="C3" s="180">
        <v>2.1999999999999999E-2</v>
      </c>
      <c r="D3" s="177">
        <v>3.2000000000000001E-2</v>
      </c>
      <c r="E3" s="177">
        <v>0.03</v>
      </c>
      <c r="F3" s="177">
        <v>2.8000000000000001E-2</v>
      </c>
    </row>
    <row r="4" spans="2:6" ht="17.399999999999999" x14ac:dyDescent="0.3">
      <c r="B4" s="182" t="s">
        <v>125</v>
      </c>
      <c r="C4" s="181">
        <f>'2014 Data'!E28</f>
        <v>0.17330391608542703</v>
      </c>
      <c r="D4" s="185">
        <f>Volumes!F24</f>
        <v>3.6691919238397298E-2</v>
      </c>
      <c r="E4" s="185">
        <f>(Volumes!H24-Volumes!D24)/Volumes!D24</f>
        <v>7.5092657576532357E-2</v>
      </c>
      <c r="F4" s="185">
        <f>(Volumes!I24-Volumes!H24)/Volumes!H24</f>
        <v>5.5436165994595443E-2</v>
      </c>
    </row>
    <row r="5" spans="2:6" ht="17.399999999999999" x14ac:dyDescent="0.3">
      <c r="B5" s="187" t="s">
        <v>132</v>
      </c>
      <c r="C5" s="181">
        <v>0.03</v>
      </c>
      <c r="D5" s="185">
        <v>0.03</v>
      </c>
      <c r="E5" s="185">
        <v>0.03</v>
      </c>
      <c r="F5" s="185">
        <v>3.1E-2</v>
      </c>
    </row>
    <row r="6" spans="2:6" ht="17.399999999999999" x14ac:dyDescent="0.3">
      <c r="B6" s="182" t="s">
        <v>126</v>
      </c>
      <c r="C6" s="181">
        <f>'2014 Data'!E31</f>
        <v>4.5587725472215179E-2</v>
      </c>
      <c r="D6" s="185">
        <f>('Capital Plan'!D11-'Capital Plan'!C11)/'Capital Plan'!C11</f>
        <v>6.6247854324612637E-2</v>
      </c>
      <c r="E6" s="185">
        <f>('Capital Plan'!H11-'Capital Plan'!D11)/'Capital Plan'!D11</f>
        <v>5.0290250468293968E-2</v>
      </c>
      <c r="F6" s="185">
        <f>('Capital Plan'!I11-'Capital Plan'!H11)/'Capital Plan'!H11</f>
        <v>5.3855083217465176E-2</v>
      </c>
    </row>
    <row r="7" spans="2:6" ht="17.399999999999999" x14ac:dyDescent="0.3">
      <c r="B7" s="182" t="s">
        <v>127</v>
      </c>
      <c r="C7" s="185">
        <f>'2014 Data'!E15</f>
        <v>0.12009512313650689</v>
      </c>
      <c r="D7" s="185">
        <f>('P&amp;L'!D19-'P&amp;L'!C19)/'P&amp;L'!C19</f>
        <v>8.4045341620928624E-2</v>
      </c>
      <c r="E7" s="186">
        <f>('P&amp;L'!H19-'P&amp;L'!D19)/'P&amp;L'!D19</f>
        <v>-2.2062100104431357E-2</v>
      </c>
      <c r="F7" s="171">
        <f>('P&amp;L'!I19-'P&amp;L'!H19)/'P&amp;L'!H19</f>
        <v>2.0855721722952635E-3</v>
      </c>
    </row>
    <row r="8" spans="2:6" ht="17.399999999999999" x14ac:dyDescent="0.3">
      <c r="B8" s="182" t="s">
        <v>22</v>
      </c>
      <c r="C8" s="181">
        <f>'P&amp;L'!C32</f>
        <v>3.7891056486046584E-2</v>
      </c>
      <c r="D8" s="181">
        <f>'P&amp;L'!D32</f>
        <v>3.9170621336967769E-2</v>
      </c>
      <c r="E8" s="181">
        <f>'P&amp;L'!H32</f>
        <v>3.6621701626880526E-2</v>
      </c>
      <c r="F8" s="181">
        <f>'P&amp;L'!I32</f>
        <v>3.458482113533707E-2</v>
      </c>
    </row>
    <row r="9" spans="2:6" ht="12" customHeight="1" x14ac:dyDescent="0.3">
      <c r="B9" s="183"/>
      <c r="C9" s="184"/>
      <c r="D9" s="184"/>
      <c r="E9" s="184"/>
      <c r="F9" s="184"/>
    </row>
    <row r="10" spans="2:6" ht="17.399999999999999" x14ac:dyDescent="0.3">
      <c r="B10" s="182" t="s">
        <v>128</v>
      </c>
      <c r="C10" s="185">
        <f>'2014 Data'!E8</f>
        <v>0.1031412352065595</v>
      </c>
      <c r="D10" s="185">
        <f>'P&amp;L'!F12</f>
        <v>1.0934137758936396E-2</v>
      </c>
      <c r="E10" s="185">
        <f>('P&amp;L'!H12-'P&amp;L'!D12)/'P&amp;L'!D12</f>
        <v>3.2843489892096081E-2</v>
      </c>
      <c r="F10" s="185">
        <f>('P&amp;L'!I12-'P&amp;L'!H12)/'P&amp;L'!H12</f>
        <v>5.906217205308429E-2</v>
      </c>
    </row>
    <row r="11" spans="2:6" ht="17.399999999999999" x14ac:dyDescent="0.3">
      <c r="B11" s="182" t="s">
        <v>129</v>
      </c>
      <c r="C11" s="185">
        <f>'2014 Data'!E12</f>
        <v>0.1813968047286387</v>
      </c>
      <c r="D11" s="185">
        <f>'P&amp;L'!F16</f>
        <v>9.888406303727254E-2</v>
      </c>
      <c r="E11" s="185">
        <f>('P&amp;L'!H16-'P&amp;L'!D16)/'P&amp;L'!D16</f>
        <v>-8.4745427747991136E-3</v>
      </c>
      <c r="F11" s="185">
        <f>('P&amp;L'!I16-'P&amp;L'!H16)/'P&amp;L'!H16</f>
        <v>-1.3943974705554684E-2</v>
      </c>
    </row>
    <row r="12" spans="2:6" ht="17.399999999999999" x14ac:dyDescent="0.3">
      <c r="B12" s="182" t="s">
        <v>130</v>
      </c>
      <c r="C12" s="181">
        <f>C10-C11</f>
        <v>-7.8255569522079196E-2</v>
      </c>
      <c r="D12" s="181">
        <f t="shared" ref="D12:F12" si="0">D10-D11</f>
        <v>-8.7949925278336144E-2</v>
      </c>
      <c r="E12" s="181">
        <f t="shared" si="0"/>
        <v>4.1318032666895196E-2</v>
      </c>
      <c r="F12" s="181">
        <f t="shared" si="0"/>
        <v>7.3006146758638979E-2</v>
      </c>
    </row>
    <row r="13" spans="2:6" ht="17.399999999999999" x14ac:dyDescent="0.3">
      <c r="B13" s="182" t="s">
        <v>21</v>
      </c>
      <c r="C13" s="181">
        <f>'P&amp;L'!C29</f>
        <v>0.37850204665223491</v>
      </c>
      <c r="D13" s="181">
        <f>'P&amp;L'!D29</f>
        <v>0.41143122124174647</v>
      </c>
      <c r="E13" s="181">
        <f>'P&amp;L'!H29</f>
        <v>0.39497226225540183</v>
      </c>
      <c r="F13" s="181">
        <f>'P&amp;L'!I29</f>
        <v>0.36774496275899027</v>
      </c>
    </row>
    <row r="14" spans="2:6" ht="12" customHeight="1" x14ac:dyDescent="0.3">
      <c r="B14" s="183"/>
      <c r="C14" s="184"/>
      <c r="D14" s="184"/>
      <c r="E14" s="184"/>
      <c r="F14" s="184"/>
    </row>
    <row r="15" spans="2:6" ht="17.399999999999999" x14ac:dyDescent="0.3">
      <c r="B15" s="182" t="s">
        <v>24</v>
      </c>
      <c r="C15" s="181">
        <v>0</v>
      </c>
      <c r="D15" s="181">
        <v>0</v>
      </c>
      <c r="E15" s="181">
        <v>0</v>
      </c>
      <c r="F15" s="181">
        <v>0</v>
      </c>
    </row>
    <row r="16" spans="2:6" ht="17.399999999999999" x14ac:dyDescent="0.3">
      <c r="B16" s="176" t="s">
        <v>23</v>
      </c>
      <c r="C16" s="178">
        <f>'P&amp;L'!C35</f>
        <v>1.1287705400279719E-2</v>
      </c>
      <c r="D16" s="178">
        <f>'P&amp;L'!D35</f>
        <v>7.0708713965811397E-3</v>
      </c>
      <c r="E16" s="179">
        <f>'P&amp;L'!H35</f>
        <v>8.7744430484734924E-3</v>
      </c>
      <c r="F16" s="179">
        <f>'P&amp;L'!I35</f>
        <v>1.1208840241391559E-2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72"/>
  <sheetViews>
    <sheetView topLeftCell="A10" workbookViewId="0">
      <selection activeCell="E16" sqref="E16"/>
    </sheetView>
  </sheetViews>
  <sheetFormatPr defaultRowHeight="13.8" x14ac:dyDescent="0.3"/>
  <cols>
    <col min="1" max="1" width="3.21875" style="189" customWidth="1"/>
    <col min="2" max="2" width="29.77734375" style="189" customWidth="1"/>
    <col min="3" max="16384" width="8.88671875" style="189"/>
  </cols>
  <sheetData>
    <row r="3" spans="2:19" x14ac:dyDescent="0.3">
      <c r="B3" s="188" t="s">
        <v>133</v>
      </c>
    </row>
    <row r="4" spans="2:19" x14ac:dyDescent="0.3">
      <c r="B4" s="190" t="s">
        <v>134</v>
      </c>
      <c r="C4" s="190">
        <v>42004</v>
      </c>
      <c r="D4" s="190">
        <v>42094</v>
      </c>
      <c r="E4" s="190">
        <v>42185</v>
      </c>
      <c r="F4" s="190">
        <v>42277</v>
      </c>
      <c r="G4" s="191">
        <v>42369</v>
      </c>
      <c r="H4" s="190">
        <v>42460</v>
      </c>
      <c r="I4" s="190">
        <v>42551</v>
      </c>
      <c r="J4" s="190">
        <v>42643</v>
      </c>
      <c r="K4" s="191">
        <v>42735</v>
      </c>
      <c r="L4" s="190">
        <v>42825</v>
      </c>
      <c r="M4" s="190">
        <v>42916</v>
      </c>
      <c r="N4" s="190">
        <v>43008</v>
      </c>
      <c r="O4" s="191">
        <v>43100</v>
      </c>
      <c r="P4" s="190">
        <v>43190</v>
      </c>
      <c r="Q4" s="190">
        <v>43281</v>
      </c>
      <c r="R4" s="190">
        <v>43373</v>
      </c>
      <c r="S4" s="191">
        <v>43465</v>
      </c>
    </row>
    <row r="5" spans="2:19" x14ac:dyDescent="0.3">
      <c r="B5" s="192" t="s">
        <v>135</v>
      </c>
      <c r="G5" s="193"/>
      <c r="K5" s="193"/>
      <c r="O5" s="193"/>
      <c r="S5" s="193"/>
    </row>
    <row r="6" spans="2:19" ht="14.4" x14ac:dyDescent="0.3">
      <c r="B6" s="189" t="s">
        <v>136</v>
      </c>
      <c r="C6" s="194">
        <v>0.12702036192610638</v>
      </c>
      <c r="D6" s="194">
        <v>0.11851502539719981</v>
      </c>
      <c r="E6" s="194">
        <v>0.11925905586670253</v>
      </c>
      <c r="F6" s="194">
        <v>0.1215484987015821</v>
      </c>
      <c r="G6" s="195">
        <v>0.12379337884692052</v>
      </c>
      <c r="H6" s="194">
        <v>0.12104116400467639</v>
      </c>
      <c r="I6" s="194">
        <v>0.12089126117802629</v>
      </c>
      <c r="J6" s="194">
        <v>0.12257330651046777</v>
      </c>
      <c r="K6" s="195">
        <v>0.12345728854030281</v>
      </c>
      <c r="L6" s="194">
        <v>0.12203757122491425</v>
      </c>
      <c r="M6" s="194">
        <v>0.12124470813581656</v>
      </c>
      <c r="N6" s="194">
        <v>0.12163844142249627</v>
      </c>
      <c r="O6" s="195">
        <v>0.12236593208051107</v>
      </c>
      <c r="P6" s="194">
        <v>0.1194208466209631</v>
      </c>
      <c r="Q6" s="194">
        <v>0.11894149737345051</v>
      </c>
      <c r="R6" s="194">
        <v>0.11989494795386305</v>
      </c>
      <c r="S6" s="195">
        <v>0.12078562510047935</v>
      </c>
    </row>
    <row r="7" spans="2:19" ht="14.4" x14ac:dyDescent="0.3">
      <c r="B7" s="189" t="s">
        <v>137</v>
      </c>
      <c r="C7" s="194">
        <v>0.14065210039745543</v>
      </c>
      <c r="D7" s="194">
        <v>0.13155341719921418</v>
      </c>
      <c r="E7" s="194">
        <v>0.13363327500982983</v>
      </c>
      <c r="F7" s="194">
        <v>0.13682931608024795</v>
      </c>
      <c r="G7" s="195">
        <v>0.13483870210329757</v>
      </c>
      <c r="H7" s="194">
        <v>0.13201673555145754</v>
      </c>
      <c r="I7" s="194">
        <v>0.13204601357770107</v>
      </c>
      <c r="J7" s="194">
        <v>0.13376913258791415</v>
      </c>
      <c r="K7" s="195">
        <v>0.1348587092731556</v>
      </c>
      <c r="L7" s="194">
        <v>0.13336964156331801</v>
      </c>
      <c r="M7" s="194">
        <v>0.13259695542824501</v>
      </c>
      <c r="N7" s="194">
        <v>0.13300341266017698</v>
      </c>
      <c r="O7" s="195">
        <v>0.13371803554145542</v>
      </c>
      <c r="P7" s="194">
        <v>0.13010777161144957</v>
      </c>
      <c r="Q7" s="194">
        <v>0.12958985868413833</v>
      </c>
      <c r="R7" s="194">
        <v>0.13046661643353155</v>
      </c>
      <c r="S7" s="195">
        <v>0.13117798277218776</v>
      </c>
    </row>
    <row r="8" spans="2:19" ht="14.4" x14ac:dyDescent="0.3">
      <c r="B8" s="189" t="s">
        <v>138</v>
      </c>
      <c r="C8" s="194">
        <v>0.15970964399989232</v>
      </c>
      <c r="D8" s="194">
        <v>0.15107939135782389</v>
      </c>
      <c r="E8" s="194">
        <v>0.15250372604481635</v>
      </c>
      <c r="F8" s="194">
        <v>0.15587612844134718</v>
      </c>
      <c r="G8" s="195">
        <v>0.15847277725836656</v>
      </c>
      <c r="H8" s="194">
        <v>0.15615093868666105</v>
      </c>
      <c r="I8" s="194">
        <v>0.15528009113284427</v>
      </c>
      <c r="J8" s="194">
        <v>0.15703399402365611</v>
      </c>
      <c r="K8" s="195">
        <v>0.15806843138783444</v>
      </c>
      <c r="L8" s="194">
        <v>0.15662409830224686</v>
      </c>
      <c r="M8" s="194">
        <v>0.15486486074988717</v>
      </c>
      <c r="N8" s="194">
        <v>0.15523334592562993</v>
      </c>
      <c r="O8" s="195">
        <v>0.15584088694847792</v>
      </c>
      <c r="P8" s="194">
        <v>0.1520989253930185</v>
      </c>
      <c r="Q8" s="194">
        <v>0.15148104280339614</v>
      </c>
      <c r="R8" s="194">
        <v>0.15231088495490971</v>
      </c>
      <c r="S8" s="195">
        <v>0.15288456569815981</v>
      </c>
    </row>
    <row r="9" spans="2:19" ht="14.4" x14ac:dyDescent="0.3">
      <c r="B9" s="189" t="s">
        <v>139</v>
      </c>
      <c r="C9" s="194">
        <v>0.13190083156719865</v>
      </c>
      <c r="D9" s="194">
        <v>0.12711706806650908</v>
      </c>
      <c r="E9" s="194">
        <v>0.1238849224156599</v>
      </c>
      <c r="F9" s="194">
        <v>0.12123517076258716</v>
      </c>
      <c r="G9" s="195">
        <v>0.1198615715996517</v>
      </c>
      <c r="H9" s="194">
        <v>0.11630742357882455</v>
      </c>
      <c r="I9" s="194">
        <v>0.11624547416349527</v>
      </c>
      <c r="J9" s="194">
        <v>0.11653662319116129</v>
      </c>
      <c r="K9" s="195">
        <v>0.1177810875752322</v>
      </c>
      <c r="L9" s="194">
        <v>0.11636833650857854</v>
      </c>
      <c r="M9" s="194">
        <v>0.11677898816725439</v>
      </c>
      <c r="N9" s="194">
        <v>0.11628961483809903</v>
      </c>
      <c r="O9" s="195">
        <v>0.11683161926838571</v>
      </c>
      <c r="P9" s="194">
        <v>0.11444302272413517</v>
      </c>
      <c r="Q9" s="194">
        <v>0.11442059294607838</v>
      </c>
      <c r="R9" s="194">
        <v>0.11495992709981645</v>
      </c>
      <c r="S9" s="195">
        <v>0.11639041949339883</v>
      </c>
    </row>
    <row r="10" spans="2:19" ht="14.4" x14ac:dyDescent="0.3">
      <c r="B10" s="189" t="s">
        <v>140</v>
      </c>
      <c r="C10" s="194">
        <v>0.12069797378050094</v>
      </c>
      <c r="D10" s="194">
        <v>0.11584870006523557</v>
      </c>
      <c r="E10" s="194">
        <v>0.1134113020982649</v>
      </c>
      <c r="F10" s="194">
        <v>0.11114626233256208</v>
      </c>
      <c r="G10" s="195">
        <v>0.11369127727904968</v>
      </c>
      <c r="H10" s="194">
        <v>0.11142594704500076</v>
      </c>
      <c r="I10" s="194">
        <v>0.11154691726715751</v>
      </c>
      <c r="J10" s="194">
        <v>0.11221274160946591</v>
      </c>
      <c r="K10" s="195">
        <v>0.11298201122452355</v>
      </c>
      <c r="L10" s="194">
        <v>0.11288948043576322</v>
      </c>
      <c r="M10" s="194">
        <v>0.112076279980744</v>
      </c>
      <c r="N10" s="194">
        <v>0.11184759909129312</v>
      </c>
      <c r="O10" s="195">
        <v>0.1124991876027384</v>
      </c>
      <c r="P10" s="194">
        <v>0.11117901651858748</v>
      </c>
      <c r="Q10" s="194">
        <v>0.11091810995575253</v>
      </c>
      <c r="R10" s="194">
        <v>0.11233983445139921</v>
      </c>
      <c r="S10" s="195">
        <v>0.11334571815766606</v>
      </c>
    </row>
    <row r="11" spans="2:19" x14ac:dyDescent="0.3">
      <c r="G11" s="193"/>
      <c r="K11" s="193"/>
      <c r="O11" s="193"/>
      <c r="S11" s="193"/>
    </row>
    <row r="12" spans="2:19" x14ac:dyDescent="0.3">
      <c r="B12" s="192" t="s">
        <v>141</v>
      </c>
      <c r="G12" s="193"/>
      <c r="K12" s="193"/>
      <c r="O12" s="193"/>
      <c r="S12" s="193"/>
    </row>
    <row r="13" spans="2:19" ht="14.4" x14ac:dyDescent="0.3">
      <c r="B13" s="189" t="s">
        <v>142</v>
      </c>
      <c r="C13" s="196">
        <v>13080.617682585269</v>
      </c>
      <c r="D13" s="196">
        <v>13125.46517685168</v>
      </c>
      <c r="E13" s="196">
        <v>13177.095311465866</v>
      </c>
      <c r="F13" s="196">
        <v>13309.499758465867</v>
      </c>
      <c r="G13" s="197">
        <v>13864.963525800002</v>
      </c>
      <c r="H13" s="196">
        <v>13744.737060799996</v>
      </c>
      <c r="I13" s="196">
        <v>13822.513452799998</v>
      </c>
      <c r="J13" s="196">
        <v>13891.5187408</v>
      </c>
      <c r="K13" s="197">
        <v>14044.976071800002</v>
      </c>
      <c r="L13" s="196">
        <v>13993.1962248</v>
      </c>
      <c r="M13" s="196">
        <v>14121.3816038</v>
      </c>
      <c r="N13" s="196">
        <v>14250.180731799999</v>
      </c>
      <c r="O13" s="197">
        <v>14456.978467799998</v>
      </c>
      <c r="P13" s="196">
        <v>14464.492029799998</v>
      </c>
      <c r="Q13" s="196">
        <v>14647.8615398</v>
      </c>
      <c r="R13" s="196">
        <v>14834.728287799995</v>
      </c>
      <c r="S13" s="197">
        <v>15104.713027799997</v>
      </c>
    </row>
    <row r="14" spans="2:19" x14ac:dyDescent="0.3">
      <c r="B14" s="189" t="s">
        <v>143</v>
      </c>
      <c r="C14" s="189">
        <v>-24.551199999998062</v>
      </c>
      <c r="D14" s="189">
        <v>-213.76500000000124</v>
      </c>
      <c r="E14" s="189">
        <v>-140.33019999999851</v>
      </c>
      <c r="F14" s="189">
        <v>-194.15419999999904</v>
      </c>
      <c r="G14" s="193">
        <v>-194.15420000000086</v>
      </c>
      <c r="H14" s="189">
        <v>-326.89780000000064</v>
      </c>
      <c r="I14" s="189">
        <v>-326.89780000000064</v>
      </c>
      <c r="J14" s="189">
        <v>-326.89780000000064</v>
      </c>
      <c r="K14" s="193">
        <v>-326.89780000000064</v>
      </c>
      <c r="L14" s="189">
        <v>-459.64140000000043</v>
      </c>
      <c r="M14" s="189">
        <v>-459.64140000000043</v>
      </c>
      <c r="N14" s="189">
        <v>-459.64140000000043</v>
      </c>
      <c r="O14" s="193">
        <v>-459.64140000000043</v>
      </c>
      <c r="P14" s="189">
        <v>-592.38500000000022</v>
      </c>
      <c r="Q14" s="189">
        <v>-592.38500000000022</v>
      </c>
      <c r="R14" s="189">
        <v>-592.38500000000022</v>
      </c>
      <c r="S14" s="193">
        <v>-592.3849999999984</v>
      </c>
    </row>
    <row r="15" spans="2:19" x14ac:dyDescent="0.3">
      <c r="B15" s="198" t="s">
        <v>144</v>
      </c>
      <c r="C15" s="198">
        <v>13056.066482585271</v>
      </c>
      <c r="D15" s="198">
        <v>12911.700176851678</v>
      </c>
      <c r="E15" s="198">
        <v>13036.765111465867</v>
      </c>
      <c r="F15" s="198">
        <v>13115.345558465868</v>
      </c>
      <c r="G15" s="199">
        <v>13670.809325800001</v>
      </c>
      <c r="H15" s="198">
        <v>13417.839260799996</v>
      </c>
      <c r="I15" s="198">
        <v>13495.615652799997</v>
      </c>
      <c r="J15" s="198">
        <v>13564.6209408</v>
      </c>
      <c r="K15" s="199">
        <v>13718.078271800001</v>
      </c>
      <c r="L15" s="198">
        <v>13533.5548248</v>
      </c>
      <c r="M15" s="198">
        <v>13661.7402038</v>
      </c>
      <c r="N15" s="198">
        <v>13790.539331799999</v>
      </c>
      <c r="O15" s="199">
        <v>13997.337067799997</v>
      </c>
      <c r="P15" s="198">
        <v>13872.107029799998</v>
      </c>
      <c r="Q15" s="198">
        <v>14055.4765398</v>
      </c>
      <c r="R15" s="198">
        <v>14242.343287799995</v>
      </c>
      <c r="S15" s="199">
        <v>14512.328027799998</v>
      </c>
    </row>
    <row r="16" spans="2:19" ht="14.4" x14ac:dyDescent="0.3">
      <c r="B16" s="189" t="s">
        <v>145</v>
      </c>
      <c r="C16" s="196">
        <v>1401.1681360086675</v>
      </c>
      <c r="D16" s="196">
        <v>1420.4764769000146</v>
      </c>
      <c r="E16" s="196">
        <v>1571.3131155351309</v>
      </c>
      <c r="F16" s="196">
        <v>1648.8332022023128</v>
      </c>
      <c r="G16" s="197">
        <v>1219.7623942915056</v>
      </c>
      <c r="H16" s="196">
        <v>1216.6807550233884</v>
      </c>
      <c r="I16" s="196">
        <v>1245.2533758124275</v>
      </c>
      <c r="J16" s="196">
        <v>1238.9902922845145</v>
      </c>
      <c r="K16" s="197">
        <v>1266.8800997677747</v>
      </c>
      <c r="L16" s="196">
        <v>1256.6883596907212</v>
      </c>
      <c r="M16" s="196">
        <v>1279.1605969698755</v>
      </c>
      <c r="N16" s="196">
        <v>1288.4831556960867</v>
      </c>
      <c r="O16" s="197">
        <v>1298.5576611865224</v>
      </c>
      <c r="P16" s="196">
        <v>1241.4094480339165</v>
      </c>
      <c r="Q16" s="196">
        <v>1258.3311619136757</v>
      </c>
      <c r="R16" s="196">
        <v>1255.8104756022972</v>
      </c>
      <c r="S16" s="197">
        <v>1248.6361964728358</v>
      </c>
    </row>
    <row r="17" spans="2:19" x14ac:dyDescent="0.3">
      <c r="B17" s="198" t="s">
        <v>146</v>
      </c>
      <c r="C17" s="198">
        <v>14457.234618593939</v>
      </c>
      <c r="D17" s="198">
        <v>14332.176653751694</v>
      </c>
      <c r="E17" s="198">
        <v>14608.078227000999</v>
      </c>
      <c r="F17" s="198">
        <v>14764.178760668181</v>
      </c>
      <c r="G17" s="199">
        <v>14890.571720091506</v>
      </c>
      <c r="H17" s="198">
        <v>14634.520015823386</v>
      </c>
      <c r="I17" s="198">
        <v>14740.869028612426</v>
      </c>
      <c r="J17" s="198">
        <v>14803.611233084515</v>
      </c>
      <c r="K17" s="199">
        <v>14984.958371567775</v>
      </c>
      <c r="L17" s="198">
        <v>14790.243184490722</v>
      </c>
      <c r="M17" s="198">
        <v>14940.900800769876</v>
      </c>
      <c r="N17" s="198">
        <v>15079.022487496086</v>
      </c>
      <c r="O17" s="199">
        <v>15295.894728986519</v>
      </c>
      <c r="P17" s="198">
        <v>15113.516477833913</v>
      </c>
      <c r="Q17" s="198">
        <v>15313.807701713675</v>
      </c>
      <c r="R17" s="198">
        <v>15498.153763402293</v>
      </c>
      <c r="S17" s="199">
        <v>15760.964224272831</v>
      </c>
    </row>
    <row r="18" spans="2:19" ht="14.4" x14ac:dyDescent="0.3">
      <c r="B18" s="189" t="s">
        <v>147</v>
      </c>
      <c r="C18" s="196">
        <v>1958.8714163240336</v>
      </c>
      <c r="D18" s="196">
        <v>2127.2705562182614</v>
      </c>
      <c r="E18" s="196">
        <v>2062.8172502514662</v>
      </c>
      <c r="F18" s="196">
        <v>2055.1921954740228</v>
      </c>
      <c r="G18" s="197">
        <v>2609.9694349251722</v>
      </c>
      <c r="H18" s="196">
        <v>2675.3614030276922</v>
      </c>
      <c r="I18" s="196">
        <v>2593.7208171714674</v>
      </c>
      <c r="J18" s="196">
        <v>2574.6146171648343</v>
      </c>
      <c r="K18" s="197">
        <v>2578.9711437891497</v>
      </c>
      <c r="L18" s="196">
        <v>2578.8407786091984</v>
      </c>
      <c r="M18" s="196">
        <v>2509.1267244943165</v>
      </c>
      <c r="N18" s="196">
        <v>2520.278667298192</v>
      </c>
      <c r="O18" s="197">
        <v>2530.6145491639363</v>
      </c>
      <c r="P18" s="196">
        <v>2554.5258436743029</v>
      </c>
      <c r="Q18" s="196">
        <v>2586.9106376775085</v>
      </c>
      <c r="R18" s="196">
        <v>2594.8847425336971</v>
      </c>
      <c r="S18" s="197">
        <v>2608.0342882052009</v>
      </c>
    </row>
    <row r="19" spans="2:19" x14ac:dyDescent="0.3">
      <c r="B19" s="200" t="s">
        <v>148</v>
      </c>
      <c r="C19" s="201">
        <v>16416.106034917972</v>
      </c>
      <c r="D19" s="201">
        <v>16459.447209969956</v>
      </c>
      <c r="E19" s="201">
        <v>16670.895477252463</v>
      </c>
      <c r="F19" s="201">
        <v>16819.370956142204</v>
      </c>
      <c r="G19" s="202">
        <v>17500.541155016679</v>
      </c>
      <c r="H19" s="201">
        <v>17309.881418851077</v>
      </c>
      <c r="I19" s="201">
        <v>17334.589845783892</v>
      </c>
      <c r="J19" s="201">
        <v>17378.22585024935</v>
      </c>
      <c r="K19" s="202">
        <v>17563.929515356926</v>
      </c>
      <c r="L19" s="201">
        <v>17369.083963099918</v>
      </c>
      <c r="M19" s="201">
        <v>17450.027525264191</v>
      </c>
      <c r="N19" s="201">
        <v>17599.301154794277</v>
      </c>
      <c r="O19" s="202">
        <v>17826.509278150454</v>
      </c>
      <c r="P19" s="201">
        <v>17668.042321508219</v>
      </c>
      <c r="Q19" s="201">
        <v>17900.718339391184</v>
      </c>
      <c r="R19" s="201">
        <v>18093.038505935991</v>
      </c>
      <c r="S19" s="202">
        <v>18368.998512478032</v>
      </c>
    </row>
    <row r="20" spans="2:19" x14ac:dyDescent="0.3">
      <c r="G20" s="193"/>
      <c r="K20" s="193"/>
      <c r="O20" s="193"/>
      <c r="S20" s="193"/>
    </row>
    <row r="21" spans="2:19" ht="14.4" x14ac:dyDescent="0.3">
      <c r="B21" s="203" t="s">
        <v>149</v>
      </c>
      <c r="C21" s="196">
        <v>118353.27899999999</v>
      </c>
      <c r="D21" s="196">
        <v>123248.00599999999</v>
      </c>
      <c r="E21" s="196">
        <v>126127.126</v>
      </c>
      <c r="F21" s="196">
        <v>129686.185352</v>
      </c>
      <c r="G21" s="197">
        <v>131891.31757499999</v>
      </c>
      <c r="H21" s="196">
        <v>133291.680624</v>
      </c>
      <c r="I21" s="196">
        <v>133855.15956599999</v>
      </c>
      <c r="J21" s="196">
        <v>133734.839958</v>
      </c>
      <c r="K21" s="197">
        <v>134250.18414599999</v>
      </c>
      <c r="L21" s="196">
        <v>133893.399836</v>
      </c>
      <c r="M21" s="196">
        <v>135936.521737</v>
      </c>
      <c r="N21" s="196">
        <v>137345.69325899999</v>
      </c>
      <c r="O21" s="197">
        <v>138445.974261</v>
      </c>
      <c r="P21" s="196">
        <v>140039.488266</v>
      </c>
      <c r="Q21" s="196">
        <v>141998.71470100002</v>
      </c>
      <c r="R21" s="196">
        <v>141990.824417</v>
      </c>
      <c r="S21" s="197">
        <v>143200.88803600002</v>
      </c>
    </row>
    <row r="22" spans="2:19" ht="14.4" x14ac:dyDescent="0.3">
      <c r="B22" s="189" t="s">
        <v>150</v>
      </c>
      <c r="C22" s="196">
        <v>108374.791</v>
      </c>
      <c r="D22" s="196">
        <v>113298.338</v>
      </c>
      <c r="E22" s="196">
        <v>116188.55499999999</v>
      </c>
      <c r="F22" s="196">
        <v>119747.614352</v>
      </c>
      <c r="G22" s="197">
        <v>121952.746575</v>
      </c>
      <c r="H22" s="196">
        <v>123353.109624</v>
      </c>
      <c r="I22" s="196">
        <v>123916.58856600001</v>
      </c>
      <c r="J22" s="196">
        <v>123796.268958</v>
      </c>
      <c r="K22" s="197">
        <v>124311.613146</v>
      </c>
      <c r="L22" s="196">
        <v>123954.828836</v>
      </c>
      <c r="M22" s="196">
        <v>125997.95073699999</v>
      </c>
      <c r="N22" s="196">
        <v>127407.122259</v>
      </c>
      <c r="O22" s="197">
        <v>128507.40326100001</v>
      </c>
      <c r="P22" s="196">
        <v>130100.917266</v>
      </c>
      <c r="Q22" s="196">
        <v>132060.14370099999</v>
      </c>
      <c r="R22" s="196">
        <v>132052.253417</v>
      </c>
      <c r="S22" s="197">
        <v>133262.31703600002</v>
      </c>
    </row>
    <row r="23" spans="2:19" ht="14.4" x14ac:dyDescent="0.3">
      <c r="B23" s="189" t="s">
        <v>151</v>
      </c>
      <c r="C23" s="196">
        <v>102787.19320749999</v>
      </c>
      <c r="D23" s="196">
        <v>108945.68122124999</v>
      </c>
      <c r="E23" s="196">
        <v>109314.6764975</v>
      </c>
      <c r="F23" s="196">
        <v>107902.16003132876</v>
      </c>
      <c r="G23" s="197">
        <v>110432.47589764027</v>
      </c>
      <c r="H23" s="196">
        <v>110853.52137130474</v>
      </c>
      <c r="I23" s="196">
        <v>111634.33585928226</v>
      </c>
      <c r="J23" s="196">
        <v>110665.3750883483</v>
      </c>
      <c r="K23" s="197">
        <v>111115.98540674019</v>
      </c>
      <c r="L23" s="196">
        <v>110896.625432325</v>
      </c>
      <c r="M23" s="196">
        <v>112679.06380290279</v>
      </c>
      <c r="N23" s="196">
        <v>113373.19987437395</v>
      </c>
      <c r="O23" s="197">
        <v>114389.16722826418</v>
      </c>
      <c r="P23" s="196">
        <v>116161.51972050157</v>
      </c>
      <c r="Q23" s="196">
        <v>118171.3434771117</v>
      </c>
      <c r="R23" s="196">
        <v>118790.18700004451</v>
      </c>
      <c r="S23" s="197">
        <v>120149.46328031548</v>
      </c>
    </row>
    <row r="24" spans="2:19" ht="14.4" x14ac:dyDescent="0.3">
      <c r="B24" s="189" t="s">
        <v>152</v>
      </c>
      <c r="C24" s="204">
        <v>0.94844190479223156</v>
      </c>
      <c r="D24" s="204">
        <v>0.96158234219861183</v>
      </c>
      <c r="E24" s="204">
        <v>0.94083859204118692</v>
      </c>
      <c r="F24" s="204">
        <v>0.90107983040187056</v>
      </c>
      <c r="G24" s="205">
        <v>0.90553496332880989</v>
      </c>
      <c r="H24" s="204">
        <v>0.89866823551675346</v>
      </c>
      <c r="I24" s="204">
        <v>0.90088290156425654</v>
      </c>
      <c r="J24" s="204">
        <v>0.8939314247499125</v>
      </c>
      <c r="K24" s="205">
        <v>0.89385040218437217</v>
      </c>
      <c r="L24" s="204">
        <v>0.89465353204632458</v>
      </c>
      <c r="M24" s="204">
        <v>0.8942928289214942</v>
      </c>
      <c r="N24" s="204">
        <v>0.88984978126970693</v>
      </c>
      <c r="O24" s="205">
        <v>0.89013678843030131</v>
      </c>
      <c r="P24" s="204">
        <v>0.89285703868637289</v>
      </c>
      <c r="Q24" s="204">
        <v>0.89482973564428192</v>
      </c>
      <c r="R24" s="204">
        <v>0.89956955618867029</v>
      </c>
      <c r="S24" s="205">
        <v>0.90160118743738948</v>
      </c>
    </row>
    <row r="25" spans="2:19" ht="14.4" x14ac:dyDescent="0.3">
      <c r="B25" s="189" t="s">
        <v>153</v>
      </c>
      <c r="C25" s="196">
        <v>109606.84968258526</v>
      </c>
      <c r="D25" s="196">
        <v>112747.85417685167</v>
      </c>
      <c r="E25" s="196">
        <v>117916.51431146586</v>
      </c>
      <c r="F25" s="196">
        <v>121781.31698746586</v>
      </c>
      <c r="G25" s="197">
        <v>124231.40729229999</v>
      </c>
      <c r="H25" s="196">
        <v>125826.1903283</v>
      </c>
      <c r="I25" s="196">
        <v>126808.1113238</v>
      </c>
      <c r="J25" s="196">
        <v>127029.69099079999</v>
      </c>
      <c r="K25" s="197">
        <v>127227.20328079999</v>
      </c>
      <c r="L25" s="196">
        <v>127098.5186198</v>
      </c>
      <c r="M25" s="196">
        <v>127941.68741529998</v>
      </c>
      <c r="N25" s="196">
        <v>129667.83412680001</v>
      </c>
      <c r="O25" s="197">
        <v>130922.56038879999</v>
      </c>
      <c r="P25" s="196">
        <v>132061.4932923</v>
      </c>
      <c r="Q25" s="196">
        <v>133837.86351230001</v>
      </c>
      <c r="R25" s="196">
        <v>134813.53158780004</v>
      </c>
      <c r="S25" s="197">
        <v>135414.61825530001</v>
      </c>
    </row>
    <row r="26" spans="2:19" x14ac:dyDescent="0.3">
      <c r="G26" s="193"/>
      <c r="K26" s="193"/>
      <c r="O26" s="193"/>
      <c r="S26" s="193"/>
    </row>
    <row r="27" spans="2:19" x14ac:dyDescent="0.3">
      <c r="B27" s="192" t="s">
        <v>154</v>
      </c>
      <c r="G27" s="193"/>
      <c r="K27" s="193"/>
      <c r="O27" s="193"/>
      <c r="S27" s="193"/>
    </row>
    <row r="28" spans="2:19" x14ac:dyDescent="0.3">
      <c r="B28" s="189" t="s">
        <v>155</v>
      </c>
      <c r="C28" s="189">
        <v>157735</v>
      </c>
      <c r="D28" s="189">
        <v>158589</v>
      </c>
      <c r="E28" s="189">
        <v>167444</v>
      </c>
      <c r="F28" s="189">
        <v>81885.447</v>
      </c>
      <c r="G28" s="193">
        <v>-11880.75</v>
      </c>
      <c r="H28" s="189">
        <v>91388.134999999995</v>
      </c>
      <c r="I28" s="189">
        <v>81426.392000000007</v>
      </c>
      <c r="J28" s="189">
        <v>72655.288</v>
      </c>
      <c r="K28" s="193">
        <v>157107.33100000001</v>
      </c>
      <c r="L28" s="189">
        <v>159834.753</v>
      </c>
      <c r="M28" s="189">
        <v>131835.37899999999</v>
      </c>
      <c r="N28" s="189">
        <v>132449.128</v>
      </c>
      <c r="O28" s="193">
        <v>210447.736</v>
      </c>
      <c r="P28" s="189">
        <v>219128.16200000001</v>
      </c>
      <c r="Q28" s="189">
        <v>187019.51</v>
      </c>
      <c r="R28" s="189">
        <v>190516.74799999999</v>
      </c>
      <c r="S28" s="193">
        <v>273634.74</v>
      </c>
    </row>
    <row r="29" spans="2:19" x14ac:dyDescent="0.3">
      <c r="B29" s="189" t="s">
        <v>156</v>
      </c>
      <c r="C29" s="189">
        <v>604806</v>
      </c>
      <c r="D29" s="189">
        <v>646185</v>
      </c>
      <c r="E29" s="189">
        <v>663718</v>
      </c>
      <c r="F29" s="189">
        <v>663718</v>
      </c>
      <c r="G29" s="193">
        <v>663718</v>
      </c>
      <c r="H29" s="189">
        <v>663718</v>
      </c>
      <c r="I29" s="189">
        <v>663718</v>
      </c>
      <c r="J29" s="189">
        <v>663718</v>
      </c>
      <c r="K29" s="193">
        <v>663718</v>
      </c>
      <c r="L29" s="189">
        <v>663718</v>
      </c>
      <c r="M29" s="189">
        <v>663718</v>
      </c>
      <c r="N29" s="189">
        <v>663718</v>
      </c>
      <c r="O29" s="193">
        <v>663718</v>
      </c>
      <c r="P29" s="189">
        <v>663718</v>
      </c>
      <c r="Q29" s="189">
        <v>663718</v>
      </c>
      <c r="R29" s="189">
        <v>663718</v>
      </c>
      <c r="S29" s="193">
        <v>663718</v>
      </c>
    </row>
    <row r="30" spans="2:19" x14ac:dyDescent="0.3">
      <c r="G30" s="193"/>
      <c r="K30" s="193"/>
      <c r="O30" s="193"/>
      <c r="S30" s="193"/>
    </row>
    <row r="31" spans="2:19" ht="14.4" x14ac:dyDescent="0.3">
      <c r="B31" s="189" t="s">
        <v>157</v>
      </c>
      <c r="C31" s="196">
        <v>0</v>
      </c>
      <c r="D31" s="196">
        <v>0</v>
      </c>
      <c r="E31" s="196">
        <v>0</v>
      </c>
      <c r="F31" s="196">
        <v>0</v>
      </c>
      <c r="G31" s="197">
        <v>928000</v>
      </c>
      <c r="H31" s="196">
        <v>0</v>
      </c>
      <c r="I31" s="196">
        <v>0</v>
      </c>
      <c r="J31" s="196">
        <v>0</v>
      </c>
      <c r="K31" s="197">
        <v>0</v>
      </c>
      <c r="L31" s="196">
        <v>0</v>
      </c>
      <c r="M31" s="196">
        <v>0</v>
      </c>
      <c r="N31" s="196">
        <v>0</v>
      </c>
      <c r="O31" s="197">
        <v>0</v>
      </c>
      <c r="P31" s="196">
        <v>0</v>
      </c>
      <c r="Q31" s="196">
        <v>0</v>
      </c>
      <c r="R31" s="196">
        <v>0</v>
      </c>
      <c r="S31" s="197">
        <v>0</v>
      </c>
    </row>
    <row r="32" spans="2:19" ht="14.4" x14ac:dyDescent="0.3">
      <c r="B32" s="189" t="s">
        <v>158</v>
      </c>
      <c r="C32" s="196">
        <v>0</v>
      </c>
      <c r="D32" s="196">
        <v>0</v>
      </c>
      <c r="E32" s="196">
        <v>0</v>
      </c>
      <c r="F32" s="196">
        <v>0</v>
      </c>
      <c r="G32" s="197">
        <v>0</v>
      </c>
      <c r="H32" s="196">
        <v>0</v>
      </c>
      <c r="I32" s="196">
        <v>0</v>
      </c>
      <c r="J32" s="196">
        <v>0</v>
      </c>
      <c r="K32" s="197">
        <v>0</v>
      </c>
      <c r="L32" s="196">
        <v>0</v>
      </c>
      <c r="M32" s="196">
        <v>0</v>
      </c>
      <c r="N32" s="196">
        <v>0</v>
      </c>
      <c r="O32" s="197">
        <v>0</v>
      </c>
      <c r="P32" s="196">
        <v>0</v>
      </c>
      <c r="Q32" s="196">
        <v>0</v>
      </c>
      <c r="R32" s="196">
        <v>0</v>
      </c>
      <c r="S32" s="197">
        <v>0</v>
      </c>
    </row>
    <row r="33" spans="2:19" ht="14.4" x14ac:dyDescent="0.3">
      <c r="B33" s="189" t="s">
        <v>159</v>
      </c>
      <c r="C33" s="196">
        <v>0</v>
      </c>
      <c r="D33" s="196">
        <v>0</v>
      </c>
      <c r="E33" s="196">
        <v>0</v>
      </c>
      <c r="F33" s="196">
        <v>0</v>
      </c>
      <c r="G33" s="197">
        <v>0</v>
      </c>
      <c r="H33" s="196">
        <v>0</v>
      </c>
      <c r="I33" s="196">
        <v>0</v>
      </c>
      <c r="J33" s="196">
        <v>0</v>
      </c>
      <c r="K33" s="197">
        <v>0</v>
      </c>
      <c r="L33" s="196">
        <v>0</v>
      </c>
      <c r="M33" s="196">
        <v>0</v>
      </c>
      <c r="N33" s="196">
        <v>0</v>
      </c>
      <c r="O33" s="197">
        <v>0</v>
      </c>
      <c r="P33" s="196">
        <v>0</v>
      </c>
      <c r="Q33" s="196">
        <v>0</v>
      </c>
      <c r="R33" s="196">
        <v>0</v>
      </c>
      <c r="S33" s="197">
        <v>0</v>
      </c>
    </row>
    <row r="34" spans="2:19" ht="14.4" x14ac:dyDescent="0.3">
      <c r="B34" s="189" t="s">
        <v>160</v>
      </c>
      <c r="C34" s="196">
        <v>0</v>
      </c>
      <c r="D34" s="196">
        <v>0</v>
      </c>
      <c r="E34" s="196">
        <v>0</v>
      </c>
      <c r="F34" s="196">
        <v>0</v>
      </c>
      <c r="G34" s="197">
        <v>0</v>
      </c>
      <c r="H34" s="196">
        <v>0</v>
      </c>
      <c r="I34" s="196">
        <v>0</v>
      </c>
      <c r="J34" s="196">
        <v>0</v>
      </c>
      <c r="K34" s="197">
        <v>0</v>
      </c>
      <c r="L34" s="196">
        <v>0</v>
      </c>
      <c r="M34" s="196">
        <v>0</v>
      </c>
      <c r="N34" s="196">
        <v>54657.52</v>
      </c>
      <c r="O34" s="197">
        <v>51659.25499999999</v>
      </c>
      <c r="P34" s="196">
        <v>83770.399999999994</v>
      </c>
      <c r="Q34" s="196">
        <v>80848.748000000007</v>
      </c>
      <c r="R34" s="196">
        <v>66185.805999999997</v>
      </c>
      <c r="S34" s="197">
        <v>60924.720000000008</v>
      </c>
    </row>
    <row r="35" spans="2:19" ht="14.4" x14ac:dyDescent="0.3">
      <c r="B35" s="189" t="s">
        <v>161</v>
      </c>
      <c r="C35" s="196">
        <v>0</v>
      </c>
      <c r="D35" s="196">
        <v>0</v>
      </c>
      <c r="E35" s="196">
        <v>0</v>
      </c>
      <c r="F35" s="196">
        <v>0</v>
      </c>
      <c r="G35" s="197">
        <v>600000</v>
      </c>
      <c r="H35" s="196">
        <v>0</v>
      </c>
      <c r="I35" s="196">
        <v>0</v>
      </c>
      <c r="J35" s="196">
        <v>0</v>
      </c>
      <c r="K35" s="197">
        <v>0</v>
      </c>
      <c r="L35" s="196">
        <v>0</v>
      </c>
      <c r="M35" s="196">
        <v>0</v>
      </c>
      <c r="N35" s="196">
        <v>0</v>
      </c>
      <c r="O35" s="197">
        <v>0</v>
      </c>
      <c r="P35" s="196">
        <v>0</v>
      </c>
      <c r="Q35" s="196">
        <v>0</v>
      </c>
      <c r="R35" s="196">
        <v>0</v>
      </c>
      <c r="S35" s="197">
        <v>0</v>
      </c>
    </row>
    <row r="36" spans="2:19" ht="14.4" x14ac:dyDescent="0.3">
      <c r="B36" s="189" t="s">
        <v>162</v>
      </c>
      <c r="C36" s="196">
        <v>0</v>
      </c>
      <c r="D36" s="196">
        <v>0</v>
      </c>
      <c r="E36" s="196">
        <v>0</v>
      </c>
      <c r="F36" s="196">
        <v>0</v>
      </c>
      <c r="G36" s="197">
        <v>0</v>
      </c>
      <c r="H36" s="196">
        <v>0</v>
      </c>
      <c r="I36" s="196">
        <v>0</v>
      </c>
      <c r="J36" s="196">
        <v>0</v>
      </c>
      <c r="K36" s="197">
        <v>0</v>
      </c>
      <c r="L36" s="196">
        <v>0</v>
      </c>
      <c r="M36" s="196">
        <v>0</v>
      </c>
      <c r="N36" s="196">
        <v>0</v>
      </c>
      <c r="O36" s="197">
        <v>0</v>
      </c>
      <c r="P36" s="196">
        <v>0</v>
      </c>
      <c r="Q36" s="196">
        <v>0</v>
      </c>
      <c r="R36" s="196">
        <v>0</v>
      </c>
      <c r="S36" s="197">
        <v>0</v>
      </c>
    </row>
    <row r="39" spans="2:19" x14ac:dyDescent="0.3">
      <c r="B39" s="188" t="s">
        <v>163</v>
      </c>
    </row>
    <row r="40" spans="2:19" x14ac:dyDescent="0.3">
      <c r="B40" s="190" t="s">
        <v>134</v>
      </c>
      <c r="C40" s="190">
        <v>42004</v>
      </c>
      <c r="D40" s="190">
        <v>42094</v>
      </c>
      <c r="E40" s="190">
        <v>42185</v>
      </c>
      <c r="F40" s="190">
        <v>42277</v>
      </c>
      <c r="G40" s="191">
        <v>42369</v>
      </c>
      <c r="H40" s="190">
        <v>42460</v>
      </c>
      <c r="I40" s="190">
        <v>42551</v>
      </c>
      <c r="J40" s="190">
        <v>42643</v>
      </c>
      <c r="K40" s="191">
        <v>42735</v>
      </c>
      <c r="L40" s="190">
        <v>42825</v>
      </c>
      <c r="M40" s="190">
        <v>42916</v>
      </c>
      <c r="N40" s="190">
        <v>43008</v>
      </c>
      <c r="O40" s="191">
        <v>43100</v>
      </c>
      <c r="P40" s="190">
        <v>43190</v>
      </c>
      <c r="Q40" s="190">
        <v>43281</v>
      </c>
      <c r="R40" s="190">
        <v>43373</v>
      </c>
      <c r="S40" s="191">
        <v>43465</v>
      </c>
    </row>
    <row r="41" spans="2:19" x14ac:dyDescent="0.3">
      <c r="B41" s="192" t="s">
        <v>135</v>
      </c>
      <c r="G41" s="193"/>
      <c r="K41" s="193"/>
      <c r="O41" s="193"/>
      <c r="S41" s="193"/>
    </row>
    <row r="42" spans="2:19" ht="14.4" x14ac:dyDescent="0.3">
      <c r="B42" s="189" t="s">
        <v>136</v>
      </c>
      <c r="C42" s="194">
        <v>0.11362043994941506</v>
      </c>
      <c r="D42" s="194">
        <v>0.10862975075965856</v>
      </c>
      <c r="E42" s="194">
        <v>0.1093547127092028</v>
      </c>
      <c r="F42" s="194">
        <v>0.11149880114545979</v>
      </c>
      <c r="G42" s="195">
        <v>0.11396149559383202</v>
      </c>
      <c r="H42" s="194">
        <v>0.11410098031649635</v>
      </c>
      <c r="I42" s="194">
        <v>0.11400031475949683</v>
      </c>
      <c r="J42" s="194">
        <v>0.11561080996988791</v>
      </c>
      <c r="K42" s="195">
        <v>0.1165167442901634</v>
      </c>
      <c r="L42" s="194">
        <v>0.11792018580050503</v>
      </c>
      <c r="M42" s="194">
        <v>0.11719874716067867</v>
      </c>
      <c r="N42" s="194">
        <v>0.11761365530783013</v>
      </c>
      <c r="O42" s="195">
        <v>0.11837039091981751</v>
      </c>
      <c r="P42" s="194">
        <v>0.1194208466209631</v>
      </c>
      <c r="Q42" s="194">
        <v>0.11894149737345051</v>
      </c>
      <c r="R42" s="194">
        <v>0.11989494795386305</v>
      </c>
      <c r="S42" s="195">
        <v>0.12078562510047935</v>
      </c>
    </row>
    <row r="43" spans="2:19" ht="14.4" x14ac:dyDescent="0.3">
      <c r="B43" s="189" t="s">
        <v>137</v>
      </c>
      <c r="C43" s="194">
        <v>0.12571779804615724</v>
      </c>
      <c r="D43" s="194">
        <v>0.12132558425018378</v>
      </c>
      <c r="E43" s="194">
        <v>0.12290311188111548</v>
      </c>
      <c r="F43" s="194">
        <v>0.12568410288472229</v>
      </c>
      <c r="G43" s="195">
        <v>0.12487663829155714</v>
      </c>
      <c r="H43" s="194">
        <v>0.12512991922534608</v>
      </c>
      <c r="I43" s="194">
        <v>0.1250691283570082</v>
      </c>
      <c r="J43" s="194">
        <v>0.12639403317517045</v>
      </c>
      <c r="K43" s="195">
        <v>0.12721247583054646</v>
      </c>
      <c r="L43" s="194">
        <v>0.12874732173173142</v>
      </c>
      <c r="M43" s="194">
        <v>0.12798591569242607</v>
      </c>
      <c r="N43" s="194">
        <v>0.12836238177901152</v>
      </c>
      <c r="O43" s="195">
        <v>0.1289863387561237</v>
      </c>
      <c r="P43" s="194">
        <v>0.13010777161144957</v>
      </c>
      <c r="Q43" s="194">
        <v>0.12958985868413833</v>
      </c>
      <c r="R43" s="194">
        <v>0.13046661643353155</v>
      </c>
      <c r="S43" s="195">
        <v>0.13117798277218776</v>
      </c>
    </row>
    <row r="44" spans="2:19" ht="14.4" x14ac:dyDescent="0.3">
      <c r="B44" s="189" t="s">
        <v>138</v>
      </c>
      <c r="C44" s="194">
        <v>0.14576833406891637</v>
      </c>
      <c r="D44" s="194">
        <v>0.14127502498608116</v>
      </c>
      <c r="E44" s="194">
        <v>0.14219711793681153</v>
      </c>
      <c r="F44" s="194">
        <v>0.14515878737396257</v>
      </c>
      <c r="G44" s="195">
        <v>0.14890575296892156</v>
      </c>
      <c r="H44" s="194">
        <v>0.14915337588740557</v>
      </c>
      <c r="I44" s="194">
        <v>0.14819939969030357</v>
      </c>
      <c r="J44" s="194">
        <v>0.14955397289181824</v>
      </c>
      <c r="K44" s="195">
        <v>0.15031807855407978</v>
      </c>
      <c r="L44" s="194">
        <v>0.1518912995152456</v>
      </c>
      <c r="M44" s="194">
        <v>0.15015360528733876</v>
      </c>
      <c r="N44" s="194">
        <v>0.15049303397390679</v>
      </c>
      <c r="O44" s="195">
        <v>0.15101169557456756</v>
      </c>
      <c r="P44" s="194">
        <v>0.1520989253930185</v>
      </c>
      <c r="Q44" s="194">
        <v>0.15148104280339614</v>
      </c>
      <c r="R44" s="194">
        <v>0.15231088495490971</v>
      </c>
      <c r="S44" s="195">
        <v>0.15288456569815981</v>
      </c>
    </row>
    <row r="45" spans="2:19" ht="14.4" x14ac:dyDescent="0.3">
      <c r="B45" s="189" t="s">
        <v>139</v>
      </c>
      <c r="C45" s="194">
        <v>0.11914469710795807</v>
      </c>
      <c r="D45" s="194">
        <v>0.11848270479709477</v>
      </c>
      <c r="E45" s="194">
        <v>0.11512389293356783</v>
      </c>
      <c r="F45" s="194">
        <v>0.11251284638923119</v>
      </c>
      <c r="G45" s="195">
        <v>0.11213044773883388</v>
      </c>
      <c r="H45" s="194">
        <v>0.11137460734927962</v>
      </c>
      <c r="I45" s="194">
        <v>0.11122830869782507</v>
      </c>
      <c r="J45" s="194">
        <v>0.11124259674530583</v>
      </c>
      <c r="K45" s="195">
        <v>0.11224057929050439</v>
      </c>
      <c r="L45" s="194">
        <v>0.11351657221087928</v>
      </c>
      <c r="M45" s="194">
        <v>0.11388630761479099</v>
      </c>
      <c r="N45" s="194">
        <v>0.11338658776803168</v>
      </c>
      <c r="O45" s="195">
        <v>0.11384659779668849</v>
      </c>
      <c r="P45" s="194">
        <v>0.11444302272413517</v>
      </c>
      <c r="Q45" s="194">
        <v>0.11442059294607838</v>
      </c>
      <c r="R45" s="194">
        <v>0.11495992709981645</v>
      </c>
      <c r="S45" s="195">
        <v>0.11639041949339883</v>
      </c>
    </row>
    <row r="46" spans="2:19" ht="14.4" x14ac:dyDescent="0.3">
      <c r="B46" s="189" t="s">
        <v>140</v>
      </c>
      <c r="C46" s="194">
        <v>0.11273796027514618</v>
      </c>
      <c r="D46" s="194">
        <v>0.11028777824482897</v>
      </c>
      <c r="E46" s="194">
        <v>0.10804163552482313</v>
      </c>
      <c r="F46" s="194">
        <v>0.10593618943569372</v>
      </c>
      <c r="G46" s="195">
        <v>0.1085754121794776</v>
      </c>
      <c r="H46" s="194">
        <v>0.10805408879782874</v>
      </c>
      <c r="I46" s="194">
        <v>0.10819039168157404</v>
      </c>
      <c r="J46" s="194">
        <v>0.10885295376205421</v>
      </c>
      <c r="K46" s="195">
        <v>0.10963615165859945</v>
      </c>
      <c r="L46" s="194">
        <v>0.11121173538982274</v>
      </c>
      <c r="M46" s="194">
        <v>0.11042574043796928</v>
      </c>
      <c r="N46" s="194">
        <v>0.11021531514740779</v>
      </c>
      <c r="O46" s="195">
        <v>0.11088087928179582</v>
      </c>
      <c r="P46" s="194">
        <v>0.11117901651858748</v>
      </c>
      <c r="Q46" s="194">
        <v>0.11091810995575253</v>
      </c>
      <c r="R46" s="194">
        <v>0.11233983445139921</v>
      </c>
      <c r="S46" s="195">
        <v>0.11334571815766606</v>
      </c>
    </row>
    <row r="47" spans="2:19" x14ac:dyDescent="0.3">
      <c r="G47" s="193"/>
      <c r="K47" s="193"/>
      <c r="O47" s="193"/>
      <c r="S47" s="193"/>
    </row>
    <row r="48" spans="2:19" x14ac:dyDescent="0.3">
      <c r="B48" s="192" t="s">
        <v>141</v>
      </c>
      <c r="G48" s="193"/>
      <c r="K48" s="193"/>
      <c r="O48" s="193"/>
      <c r="S48" s="193"/>
    </row>
    <row r="49" spans="2:19" ht="14.4" x14ac:dyDescent="0.3">
      <c r="B49" s="189" t="s">
        <v>142</v>
      </c>
      <c r="C49" s="196">
        <v>12217.95288258527</v>
      </c>
      <c r="D49" s="196">
        <v>12495.42197685168</v>
      </c>
      <c r="E49" s="196">
        <v>12553.201511465866</v>
      </c>
      <c r="F49" s="196">
        <v>12685.605958465867</v>
      </c>
      <c r="G49" s="197">
        <v>13241.0697258</v>
      </c>
      <c r="H49" s="196">
        <v>13328.807860799998</v>
      </c>
      <c r="I49" s="196">
        <v>13406.584252799999</v>
      </c>
      <c r="J49" s="196">
        <v>13475.589540800001</v>
      </c>
      <c r="K49" s="197">
        <v>13629.046871800001</v>
      </c>
      <c r="L49" s="196">
        <v>13785.231624800001</v>
      </c>
      <c r="M49" s="196">
        <v>13913.417003800001</v>
      </c>
      <c r="N49" s="196">
        <v>14042.2161318</v>
      </c>
      <c r="O49" s="197">
        <v>14249.013867799997</v>
      </c>
      <c r="P49" s="196">
        <v>14464.492029799998</v>
      </c>
      <c r="Q49" s="196">
        <v>14647.8615398</v>
      </c>
      <c r="R49" s="196">
        <v>14834.728287799995</v>
      </c>
      <c r="S49" s="197">
        <v>15104.713027799997</v>
      </c>
    </row>
    <row r="50" spans="2:19" x14ac:dyDescent="0.3">
      <c r="B50" s="189" t="s">
        <v>143</v>
      </c>
      <c r="C50" s="189">
        <v>-508.39600000000064</v>
      </c>
      <c r="D50" s="189">
        <v>-601.47600000000057</v>
      </c>
      <c r="E50" s="189">
        <v>-538.56099999999969</v>
      </c>
      <c r="F50" s="189">
        <v>-592.38500000000022</v>
      </c>
      <c r="G50" s="193">
        <v>-592.38500000000022</v>
      </c>
      <c r="H50" s="189">
        <v>-592.38500000000022</v>
      </c>
      <c r="I50" s="189">
        <v>-592.38500000000022</v>
      </c>
      <c r="J50" s="189">
        <v>-592.38500000000022</v>
      </c>
      <c r="K50" s="193">
        <v>-592.38500000000022</v>
      </c>
      <c r="L50" s="189">
        <v>-592.38500000000022</v>
      </c>
      <c r="M50" s="189">
        <v>-592.38500000000022</v>
      </c>
      <c r="N50" s="189">
        <v>-592.38500000000022</v>
      </c>
      <c r="O50" s="193">
        <v>-592.38500000000022</v>
      </c>
      <c r="P50" s="189">
        <v>-592.38500000000022</v>
      </c>
      <c r="Q50" s="189">
        <v>-592.38500000000022</v>
      </c>
      <c r="R50" s="189">
        <v>-592.38500000000022</v>
      </c>
      <c r="S50" s="193">
        <v>-592.3849999999984</v>
      </c>
    </row>
    <row r="51" spans="2:19" x14ac:dyDescent="0.3">
      <c r="B51" s="198" t="s">
        <v>144</v>
      </c>
      <c r="C51" s="198">
        <v>11709.55688258527</v>
      </c>
      <c r="D51" s="198">
        <v>11893.945976851679</v>
      </c>
      <c r="E51" s="198">
        <v>12014.640511465866</v>
      </c>
      <c r="F51" s="198">
        <v>12093.220958465867</v>
      </c>
      <c r="G51" s="199">
        <v>12648.6847258</v>
      </c>
      <c r="H51" s="198">
        <v>12736.422860799998</v>
      </c>
      <c r="I51" s="198">
        <v>12814.199252799999</v>
      </c>
      <c r="J51" s="198">
        <v>12883.204540800001</v>
      </c>
      <c r="K51" s="199">
        <v>13036.661871800001</v>
      </c>
      <c r="L51" s="198">
        <v>13192.8466248</v>
      </c>
      <c r="M51" s="198">
        <v>13321.032003800001</v>
      </c>
      <c r="N51" s="198">
        <v>13449.8311318</v>
      </c>
      <c r="O51" s="199">
        <v>13656.628867799996</v>
      </c>
      <c r="P51" s="198">
        <v>13872.107029799998</v>
      </c>
      <c r="Q51" s="198">
        <v>14055.4765398</v>
      </c>
      <c r="R51" s="198">
        <v>14242.343287799995</v>
      </c>
      <c r="S51" s="199">
        <v>14512.328027799998</v>
      </c>
    </row>
    <row r="52" spans="2:19" ht="14.4" x14ac:dyDescent="0.3">
      <c r="B52" s="189" t="s">
        <v>145</v>
      </c>
      <c r="C52" s="196">
        <v>1246.7360875021445</v>
      </c>
      <c r="D52" s="196">
        <v>1390.075523615111</v>
      </c>
      <c r="E52" s="196">
        <v>1488.5425741937315</v>
      </c>
      <c r="F52" s="196">
        <v>1538.5455855405573</v>
      </c>
      <c r="G52" s="197">
        <v>1211.4811059755475</v>
      </c>
      <c r="H52" s="196">
        <v>1231.095729935038</v>
      </c>
      <c r="I52" s="196">
        <v>1244.1893974577547</v>
      </c>
      <c r="J52" s="196">
        <v>1201.6391045001724</v>
      </c>
      <c r="K52" s="197">
        <v>1196.7089915959141</v>
      </c>
      <c r="L52" s="196">
        <v>1211.3341134671048</v>
      </c>
      <c r="M52" s="196">
        <v>1226.0900455256985</v>
      </c>
      <c r="N52" s="196">
        <v>1229.1817267384372</v>
      </c>
      <c r="O52" s="197">
        <v>1224.7831451242248</v>
      </c>
      <c r="P52" s="196">
        <v>1241.4094480339165</v>
      </c>
      <c r="Q52" s="196">
        <v>1258.3311619136757</v>
      </c>
      <c r="R52" s="196">
        <v>1255.8104756022972</v>
      </c>
      <c r="S52" s="197">
        <v>1248.6361964728358</v>
      </c>
    </row>
    <row r="53" spans="2:19" x14ac:dyDescent="0.3">
      <c r="B53" s="198" t="s">
        <v>146</v>
      </c>
      <c r="C53" s="198">
        <v>12956.292970087414</v>
      </c>
      <c r="D53" s="198">
        <v>13284.02150046679</v>
      </c>
      <c r="E53" s="198">
        <v>13503.183085659597</v>
      </c>
      <c r="F53" s="198">
        <v>13631.766544006425</v>
      </c>
      <c r="G53" s="199">
        <v>13860.165831775548</v>
      </c>
      <c r="H53" s="198">
        <v>13967.518590735037</v>
      </c>
      <c r="I53" s="198">
        <v>14058.388650257753</v>
      </c>
      <c r="J53" s="198">
        <v>14084.843645300174</v>
      </c>
      <c r="K53" s="199">
        <v>14233.370863395916</v>
      </c>
      <c r="L53" s="198">
        <v>14404.180738267105</v>
      </c>
      <c r="M53" s="198">
        <v>14547.122049325699</v>
      </c>
      <c r="N53" s="198">
        <v>14679.012858538437</v>
      </c>
      <c r="O53" s="199">
        <v>14881.412012924222</v>
      </c>
      <c r="P53" s="198">
        <v>15113.516477833913</v>
      </c>
      <c r="Q53" s="198">
        <v>15313.807701713675</v>
      </c>
      <c r="R53" s="198">
        <v>15498.153763402293</v>
      </c>
      <c r="S53" s="199">
        <v>15760.964224272831</v>
      </c>
    </row>
    <row r="54" spans="2:19" ht="14.4" x14ac:dyDescent="0.3">
      <c r="B54" s="189" t="s">
        <v>147</v>
      </c>
      <c r="C54" s="196">
        <v>2066.3790088240335</v>
      </c>
      <c r="D54" s="196">
        <v>2184.2779599682613</v>
      </c>
      <c r="E54" s="196">
        <v>2119.8039027514665</v>
      </c>
      <c r="F54" s="196">
        <v>2112.2349317240232</v>
      </c>
      <c r="G54" s="197">
        <v>2667.0121711751722</v>
      </c>
      <c r="H54" s="196">
        <v>2681.5974917776925</v>
      </c>
      <c r="I54" s="196">
        <v>2599.9569059214678</v>
      </c>
      <c r="J54" s="196">
        <v>2580.8507059148346</v>
      </c>
      <c r="K54" s="197">
        <v>2585.20723253915</v>
      </c>
      <c r="L54" s="196">
        <v>2589.3357198591989</v>
      </c>
      <c r="M54" s="196">
        <v>2519.6216657443169</v>
      </c>
      <c r="N54" s="196">
        <v>2530.7736085481924</v>
      </c>
      <c r="O54" s="197">
        <v>2541.1094904139363</v>
      </c>
      <c r="P54" s="196">
        <v>2554.5258436743029</v>
      </c>
      <c r="Q54" s="196">
        <v>2586.9106376775085</v>
      </c>
      <c r="R54" s="196">
        <v>2594.8847425336971</v>
      </c>
      <c r="S54" s="197">
        <v>2608.0342882052009</v>
      </c>
    </row>
    <row r="55" spans="2:19" x14ac:dyDescent="0.3">
      <c r="B55" s="200" t="s">
        <v>148</v>
      </c>
      <c r="C55" s="201">
        <v>15022.671978911449</v>
      </c>
      <c r="D55" s="201">
        <v>15468.299460435052</v>
      </c>
      <c r="E55" s="201">
        <v>15622.986988411063</v>
      </c>
      <c r="F55" s="201">
        <v>15744.001475730447</v>
      </c>
      <c r="G55" s="202">
        <v>16527.178002950721</v>
      </c>
      <c r="H55" s="201">
        <v>16649.11608251273</v>
      </c>
      <c r="I55" s="201">
        <v>16658.345556179222</v>
      </c>
      <c r="J55" s="201">
        <v>16665.69435121501</v>
      </c>
      <c r="K55" s="202">
        <v>16818.578095935067</v>
      </c>
      <c r="L55" s="201">
        <v>16993.516458126302</v>
      </c>
      <c r="M55" s="201">
        <v>17066.743715070017</v>
      </c>
      <c r="N55" s="201">
        <v>17209.786467086629</v>
      </c>
      <c r="O55" s="202">
        <v>17422.521503338157</v>
      </c>
      <c r="P55" s="201">
        <v>17668.042321508219</v>
      </c>
      <c r="Q55" s="201">
        <v>17900.718339391184</v>
      </c>
      <c r="R55" s="201">
        <v>18093.038505935991</v>
      </c>
      <c r="S55" s="202">
        <v>18368.998512478032</v>
      </c>
    </row>
    <row r="56" spans="2:19" x14ac:dyDescent="0.3">
      <c r="G56" s="193"/>
      <c r="K56" s="193"/>
      <c r="O56" s="193"/>
      <c r="S56" s="193"/>
    </row>
    <row r="57" spans="2:19" ht="14.4" x14ac:dyDescent="0.3">
      <c r="B57" s="203" t="s">
        <v>149</v>
      </c>
      <c r="C57" s="196">
        <v>118353.27899999999</v>
      </c>
      <c r="D57" s="196">
        <v>123248.00599999999</v>
      </c>
      <c r="E57" s="196">
        <v>126127.126</v>
      </c>
      <c r="F57" s="196">
        <v>129686.185352</v>
      </c>
      <c r="G57" s="197">
        <v>131891.31757499999</v>
      </c>
      <c r="H57" s="196">
        <v>133291.680624</v>
      </c>
      <c r="I57" s="196">
        <v>133855.15956599999</v>
      </c>
      <c r="J57" s="196">
        <v>133734.839958</v>
      </c>
      <c r="K57" s="197">
        <v>134250.18414599999</v>
      </c>
      <c r="L57" s="196">
        <v>133893.399836</v>
      </c>
      <c r="M57" s="196">
        <v>135936.521737</v>
      </c>
      <c r="N57" s="196">
        <v>137345.69325899999</v>
      </c>
      <c r="O57" s="197">
        <v>138445.974261</v>
      </c>
      <c r="P57" s="196">
        <v>140039.488266</v>
      </c>
      <c r="Q57" s="196">
        <v>141998.71470100002</v>
      </c>
      <c r="R57" s="196">
        <v>141990.824417</v>
      </c>
      <c r="S57" s="197">
        <v>143200.88803600002</v>
      </c>
    </row>
    <row r="58" spans="2:19" ht="14.4" x14ac:dyDescent="0.3">
      <c r="B58" s="189" t="s">
        <v>150</v>
      </c>
      <c r="C58" s="196">
        <v>108374.791</v>
      </c>
      <c r="D58" s="196">
        <v>113298.338</v>
      </c>
      <c r="E58" s="196">
        <v>116188.55499999999</v>
      </c>
      <c r="F58" s="196">
        <v>119747.614352</v>
      </c>
      <c r="G58" s="197">
        <v>121952.746575</v>
      </c>
      <c r="H58" s="196">
        <v>123353.109624</v>
      </c>
      <c r="I58" s="196">
        <v>123916.58856600001</v>
      </c>
      <c r="J58" s="196">
        <v>123796.268958</v>
      </c>
      <c r="K58" s="197">
        <v>124311.613146</v>
      </c>
      <c r="L58" s="196">
        <v>123954.828836</v>
      </c>
      <c r="M58" s="196">
        <v>125997.95073699999</v>
      </c>
      <c r="N58" s="196">
        <v>127407.122259</v>
      </c>
      <c r="O58" s="197">
        <v>128507.40326100001</v>
      </c>
      <c r="P58" s="196">
        <v>130100.917266</v>
      </c>
      <c r="Q58" s="196">
        <v>132060.14370099999</v>
      </c>
      <c r="R58" s="196">
        <v>132052.253417</v>
      </c>
      <c r="S58" s="197">
        <v>133262.31703600002</v>
      </c>
    </row>
    <row r="59" spans="2:19" ht="14.4" x14ac:dyDescent="0.3">
      <c r="B59" s="189" t="s">
        <v>151</v>
      </c>
      <c r="C59" s="196">
        <v>103058.542</v>
      </c>
      <c r="D59" s="196">
        <v>109490.68642499999</v>
      </c>
      <c r="E59" s="196">
        <v>109868.52065000001</v>
      </c>
      <c r="F59" s="196">
        <v>108460.54696757878</v>
      </c>
      <c r="G59" s="197">
        <v>110990.86283389028</v>
      </c>
      <c r="H59" s="196">
        <v>111624.13176005472</v>
      </c>
      <c r="I59" s="196">
        <v>112404.94624803225</v>
      </c>
      <c r="J59" s="196">
        <v>111435.98547709831</v>
      </c>
      <c r="K59" s="197">
        <v>111886.5957954902</v>
      </c>
      <c r="L59" s="196">
        <v>111879.459273575</v>
      </c>
      <c r="M59" s="196">
        <v>113661.89764415279</v>
      </c>
      <c r="N59" s="196">
        <v>114356.03371562397</v>
      </c>
      <c r="O59" s="197">
        <v>115372.00106951418</v>
      </c>
      <c r="P59" s="196">
        <v>116161.51972050157</v>
      </c>
      <c r="Q59" s="196">
        <v>118171.3434771117</v>
      </c>
      <c r="R59" s="196">
        <v>118790.18700004451</v>
      </c>
      <c r="S59" s="197">
        <v>120149.46328031548</v>
      </c>
    </row>
    <row r="60" spans="2:19" ht="14.4" x14ac:dyDescent="0.3">
      <c r="B60" s="189" t="s">
        <v>152</v>
      </c>
      <c r="C60" s="204">
        <v>0.95094570470728756</v>
      </c>
      <c r="D60" s="204">
        <v>0.96639269699613761</v>
      </c>
      <c r="E60" s="204">
        <v>0.94560536233538672</v>
      </c>
      <c r="F60" s="204">
        <v>0.90574286222318623</v>
      </c>
      <c r="G60" s="205">
        <v>0.91011367887177308</v>
      </c>
      <c r="H60" s="204">
        <v>0.90491542613155773</v>
      </c>
      <c r="I60" s="204">
        <v>0.90710168468012287</v>
      </c>
      <c r="J60" s="204">
        <v>0.90015625200227056</v>
      </c>
      <c r="K60" s="205">
        <v>0.90004942389479714</v>
      </c>
      <c r="L60" s="204">
        <v>0.90258249980400951</v>
      </c>
      <c r="M60" s="204">
        <v>0.9020932243684131</v>
      </c>
      <c r="N60" s="204">
        <v>0.89756390135831587</v>
      </c>
      <c r="O60" s="205">
        <v>0.89778486018577719</v>
      </c>
      <c r="P60" s="204">
        <v>0.89285703868637289</v>
      </c>
      <c r="Q60" s="204">
        <v>0.89482973564428192</v>
      </c>
      <c r="R60" s="204">
        <v>0.89956955618867029</v>
      </c>
      <c r="S60" s="205">
        <v>0.90160118743738948</v>
      </c>
    </row>
    <row r="61" spans="2:19" ht="14.4" x14ac:dyDescent="0.3">
      <c r="B61" s="189" t="s">
        <v>153</v>
      </c>
      <c r="C61" s="196">
        <v>108744.18488258528</v>
      </c>
      <c r="D61" s="196">
        <v>112117.81097685169</v>
      </c>
      <c r="E61" s="196">
        <v>117292.62051146587</v>
      </c>
      <c r="F61" s="196">
        <v>121157.42318746586</v>
      </c>
      <c r="G61" s="197">
        <v>123607.51349229999</v>
      </c>
      <c r="H61" s="196">
        <v>125410.2611283</v>
      </c>
      <c r="I61" s="196">
        <v>126392.1821238</v>
      </c>
      <c r="J61" s="196">
        <v>126613.7617908</v>
      </c>
      <c r="K61" s="197">
        <v>126811.27408079999</v>
      </c>
      <c r="L61" s="196">
        <v>126890.55401979999</v>
      </c>
      <c r="M61" s="196">
        <v>127733.72281529997</v>
      </c>
      <c r="N61" s="196">
        <v>129459.86952679999</v>
      </c>
      <c r="O61" s="197">
        <v>130714.59578879998</v>
      </c>
      <c r="P61" s="196">
        <v>132061.4932923</v>
      </c>
      <c r="Q61" s="196">
        <v>133837.86351230001</v>
      </c>
      <c r="R61" s="196">
        <v>134813.53158780004</v>
      </c>
      <c r="S61" s="197">
        <v>135414.61825530001</v>
      </c>
    </row>
    <row r="62" spans="2:19" x14ac:dyDescent="0.3">
      <c r="G62" s="193"/>
      <c r="K62" s="193"/>
      <c r="O62" s="193"/>
      <c r="S62" s="193"/>
    </row>
    <row r="63" spans="2:19" x14ac:dyDescent="0.3">
      <c r="B63" s="192" t="s">
        <v>154</v>
      </c>
      <c r="G63" s="193"/>
      <c r="K63" s="193"/>
      <c r="O63" s="193"/>
      <c r="S63" s="193"/>
    </row>
    <row r="64" spans="2:19" x14ac:dyDescent="0.3">
      <c r="B64" s="189" t="s">
        <v>155</v>
      </c>
      <c r="C64" s="189">
        <v>157735</v>
      </c>
      <c r="D64" s="189">
        <v>158589</v>
      </c>
      <c r="E64" s="189">
        <v>167444</v>
      </c>
      <c r="F64" s="189">
        <v>81885.447</v>
      </c>
      <c r="G64" s="193">
        <v>-11880.75</v>
      </c>
      <c r="H64" s="189">
        <v>91388.134999999995</v>
      </c>
      <c r="I64" s="189">
        <v>81426.392000000007</v>
      </c>
      <c r="J64" s="189">
        <v>72655.288</v>
      </c>
      <c r="K64" s="193">
        <v>157107.33100000001</v>
      </c>
      <c r="L64" s="189">
        <v>159834.753</v>
      </c>
      <c r="M64" s="189">
        <v>131835.37899999999</v>
      </c>
      <c r="N64" s="189">
        <v>132449.128</v>
      </c>
      <c r="O64" s="193">
        <v>210447.736</v>
      </c>
      <c r="P64" s="189">
        <v>219128.16200000001</v>
      </c>
      <c r="Q64" s="189">
        <v>187019.51</v>
      </c>
      <c r="R64" s="189">
        <v>190516.74799999999</v>
      </c>
      <c r="S64" s="193">
        <v>273634.74</v>
      </c>
    </row>
    <row r="65" spans="2:19" x14ac:dyDescent="0.3">
      <c r="B65" s="189" t="s">
        <v>156</v>
      </c>
      <c r="C65" s="189">
        <v>604806</v>
      </c>
      <c r="D65" s="189">
        <v>646185</v>
      </c>
      <c r="E65" s="189">
        <v>663718</v>
      </c>
      <c r="F65" s="189">
        <v>663718</v>
      </c>
      <c r="G65" s="193">
        <v>663718</v>
      </c>
      <c r="H65" s="189">
        <v>663718</v>
      </c>
      <c r="I65" s="189">
        <v>663718</v>
      </c>
      <c r="J65" s="189">
        <v>663718</v>
      </c>
      <c r="K65" s="193">
        <v>663718</v>
      </c>
      <c r="L65" s="189">
        <v>663718</v>
      </c>
      <c r="M65" s="189">
        <v>663718</v>
      </c>
      <c r="N65" s="189">
        <v>663718</v>
      </c>
      <c r="O65" s="193">
        <v>663718</v>
      </c>
      <c r="P65" s="189">
        <v>663718</v>
      </c>
      <c r="Q65" s="189">
        <v>663718</v>
      </c>
      <c r="R65" s="189">
        <v>663718</v>
      </c>
      <c r="S65" s="193">
        <v>663718</v>
      </c>
    </row>
    <row r="66" spans="2:19" x14ac:dyDescent="0.3">
      <c r="G66" s="193"/>
      <c r="K66" s="193"/>
      <c r="O66" s="193"/>
      <c r="S66" s="193"/>
    </row>
    <row r="67" spans="2:19" ht="14.4" x14ac:dyDescent="0.3">
      <c r="B67" s="189" t="s">
        <v>157</v>
      </c>
      <c r="C67" s="196">
        <v>0</v>
      </c>
      <c r="D67" s="196">
        <v>0</v>
      </c>
      <c r="E67" s="196">
        <v>0</v>
      </c>
      <c r="F67" s="196">
        <v>0</v>
      </c>
      <c r="G67" s="197">
        <v>928000</v>
      </c>
      <c r="H67" s="196">
        <v>0</v>
      </c>
      <c r="I67" s="196">
        <v>0</v>
      </c>
      <c r="J67" s="196">
        <v>0</v>
      </c>
      <c r="K67" s="197">
        <v>0</v>
      </c>
      <c r="L67" s="196">
        <v>0</v>
      </c>
      <c r="M67" s="196">
        <v>0</v>
      </c>
      <c r="N67" s="196">
        <v>0</v>
      </c>
      <c r="O67" s="197">
        <v>0</v>
      </c>
      <c r="P67" s="196">
        <v>0</v>
      </c>
      <c r="Q67" s="196">
        <v>0</v>
      </c>
      <c r="R67" s="196">
        <v>0</v>
      </c>
      <c r="S67" s="197">
        <v>0</v>
      </c>
    </row>
    <row r="68" spans="2:19" ht="14.4" x14ac:dyDescent="0.3">
      <c r="B68" s="189" t="s">
        <v>158</v>
      </c>
      <c r="C68" s="196">
        <v>0</v>
      </c>
      <c r="D68" s="196">
        <v>0</v>
      </c>
      <c r="E68" s="196">
        <v>0</v>
      </c>
      <c r="F68" s="196">
        <v>0</v>
      </c>
      <c r="G68" s="197">
        <v>0</v>
      </c>
      <c r="H68" s="196">
        <v>0</v>
      </c>
      <c r="I68" s="196">
        <v>0</v>
      </c>
      <c r="J68" s="196">
        <v>0</v>
      </c>
      <c r="K68" s="197">
        <v>0</v>
      </c>
      <c r="L68" s="196">
        <v>0</v>
      </c>
      <c r="M68" s="196">
        <v>0</v>
      </c>
      <c r="N68" s="196">
        <v>0</v>
      </c>
      <c r="O68" s="197">
        <v>0</v>
      </c>
      <c r="P68" s="196">
        <v>0</v>
      </c>
      <c r="Q68" s="196">
        <v>0</v>
      </c>
      <c r="R68" s="196">
        <v>0</v>
      </c>
      <c r="S68" s="197">
        <v>0</v>
      </c>
    </row>
    <row r="69" spans="2:19" ht="14.4" x14ac:dyDescent="0.3">
      <c r="B69" s="189" t="s">
        <v>159</v>
      </c>
      <c r="C69" s="196">
        <v>0</v>
      </c>
      <c r="D69" s="196">
        <v>0</v>
      </c>
      <c r="E69" s="196">
        <v>0</v>
      </c>
      <c r="F69" s="196">
        <v>0</v>
      </c>
      <c r="G69" s="197">
        <v>0</v>
      </c>
      <c r="H69" s="196">
        <v>0</v>
      </c>
      <c r="I69" s="196">
        <v>0</v>
      </c>
      <c r="J69" s="196">
        <v>0</v>
      </c>
      <c r="K69" s="197">
        <v>0</v>
      </c>
      <c r="L69" s="196">
        <v>0</v>
      </c>
      <c r="M69" s="196">
        <v>0</v>
      </c>
      <c r="N69" s="196">
        <v>0</v>
      </c>
      <c r="O69" s="197">
        <v>0</v>
      </c>
      <c r="P69" s="196">
        <v>0</v>
      </c>
      <c r="Q69" s="196">
        <v>0</v>
      </c>
      <c r="R69" s="196">
        <v>0</v>
      </c>
      <c r="S69" s="197">
        <v>0</v>
      </c>
    </row>
    <row r="70" spans="2:19" ht="14.4" x14ac:dyDescent="0.3">
      <c r="B70" s="189" t="s">
        <v>160</v>
      </c>
      <c r="C70" s="196">
        <v>0</v>
      </c>
      <c r="D70" s="196">
        <v>0</v>
      </c>
      <c r="E70" s="196">
        <v>0</v>
      </c>
      <c r="F70" s="196">
        <v>0</v>
      </c>
      <c r="G70" s="197">
        <v>0</v>
      </c>
      <c r="H70" s="196">
        <v>0</v>
      </c>
      <c r="I70" s="196">
        <v>0</v>
      </c>
      <c r="J70" s="196">
        <v>0</v>
      </c>
      <c r="K70" s="197">
        <v>0</v>
      </c>
      <c r="L70" s="196">
        <v>0</v>
      </c>
      <c r="M70" s="196">
        <v>0</v>
      </c>
      <c r="N70" s="196">
        <v>54657.52</v>
      </c>
      <c r="O70" s="197">
        <v>51659.25499999999</v>
      </c>
      <c r="P70" s="196">
        <v>83770.399999999994</v>
      </c>
      <c r="Q70" s="196">
        <v>80848.748000000007</v>
      </c>
      <c r="R70" s="196">
        <v>66185.805999999997</v>
      </c>
      <c r="S70" s="197">
        <v>60924.720000000008</v>
      </c>
    </row>
    <row r="71" spans="2:19" ht="14.4" x14ac:dyDescent="0.3">
      <c r="B71" s="189" t="s">
        <v>161</v>
      </c>
      <c r="C71" s="196">
        <v>0</v>
      </c>
      <c r="D71" s="196">
        <v>0</v>
      </c>
      <c r="E71" s="196">
        <v>0</v>
      </c>
      <c r="F71" s="196">
        <v>0</v>
      </c>
      <c r="G71" s="197">
        <v>600000</v>
      </c>
      <c r="H71" s="196">
        <v>0</v>
      </c>
      <c r="I71" s="196">
        <v>0</v>
      </c>
      <c r="J71" s="196">
        <v>0</v>
      </c>
      <c r="K71" s="197">
        <v>0</v>
      </c>
      <c r="L71" s="196">
        <v>0</v>
      </c>
      <c r="M71" s="196">
        <v>0</v>
      </c>
      <c r="N71" s="196">
        <v>0</v>
      </c>
      <c r="O71" s="197">
        <v>0</v>
      </c>
      <c r="P71" s="196">
        <v>0</v>
      </c>
      <c r="Q71" s="196">
        <v>0</v>
      </c>
      <c r="R71" s="196">
        <v>0</v>
      </c>
      <c r="S71" s="197">
        <v>0</v>
      </c>
    </row>
    <row r="72" spans="2:19" ht="14.4" x14ac:dyDescent="0.3">
      <c r="B72" s="189" t="s">
        <v>162</v>
      </c>
      <c r="C72" s="196">
        <v>0</v>
      </c>
      <c r="D72" s="196">
        <v>0</v>
      </c>
      <c r="E72" s="196">
        <v>0</v>
      </c>
      <c r="F72" s="196">
        <v>0</v>
      </c>
      <c r="G72" s="197">
        <v>0</v>
      </c>
      <c r="H72" s="196">
        <v>0</v>
      </c>
      <c r="I72" s="196">
        <v>0</v>
      </c>
      <c r="J72" s="196">
        <v>0</v>
      </c>
      <c r="K72" s="197">
        <v>0</v>
      </c>
      <c r="L72" s="196">
        <v>0</v>
      </c>
      <c r="M72" s="196">
        <v>0</v>
      </c>
      <c r="N72" s="196">
        <v>0</v>
      </c>
      <c r="O72" s="197">
        <v>0</v>
      </c>
      <c r="P72" s="196">
        <v>0</v>
      </c>
      <c r="Q72" s="196">
        <v>0</v>
      </c>
      <c r="R72" s="196">
        <v>0</v>
      </c>
      <c r="S72" s="19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71"/>
  <sheetViews>
    <sheetView workbookViewId="0">
      <selection activeCell="B11" sqref="B11"/>
    </sheetView>
  </sheetViews>
  <sheetFormatPr defaultRowHeight="13.8" x14ac:dyDescent="0.3"/>
  <cols>
    <col min="1" max="1" width="2.5546875" style="189" customWidth="1"/>
    <col min="2" max="2" width="33.33203125" style="189" customWidth="1"/>
    <col min="3" max="16384" width="8.88671875" style="189"/>
  </cols>
  <sheetData>
    <row r="3" spans="2:18" x14ac:dyDescent="0.3">
      <c r="B3" s="189" t="s">
        <v>164</v>
      </c>
    </row>
    <row r="4" spans="2:18" x14ac:dyDescent="0.3">
      <c r="B4" s="190" t="s">
        <v>134</v>
      </c>
      <c r="C4" s="190">
        <v>42094</v>
      </c>
      <c r="D4" s="190">
        <v>42185</v>
      </c>
      <c r="E4" s="190">
        <v>42277</v>
      </c>
      <c r="F4" s="206">
        <v>42369</v>
      </c>
      <c r="G4" s="190">
        <v>42460</v>
      </c>
      <c r="H4" s="190">
        <v>42551</v>
      </c>
      <c r="I4" s="190">
        <v>42643</v>
      </c>
      <c r="J4" s="206">
        <v>42735</v>
      </c>
      <c r="K4" s="190">
        <v>42825</v>
      </c>
      <c r="L4" s="190">
        <v>42916</v>
      </c>
      <c r="M4" s="190">
        <v>43008</v>
      </c>
      <c r="N4" s="206">
        <v>43100</v>
      </c>
      <c r="O4" s="190">
        <v>43190</v>
      </c>
      <c r="P4" s="190">
        <v>43281</v>
      </c>
      <c r="Q4" s="190">
        <v>43373</v>
      </c>
      <c r="R4" s="206">
        <v>43465</v>
      </c>
    </row>
    <row r="5" spans="2:18" x14ac:dyDescent="0.3">
      <c r="B5" s="207" t="s">
        <v>135</v>
      </c>
      <c r="F5" s="208"/>
      <c r="J5" s="208"/>
      <c r="N5" s="208"/>
      <c r="R5" s="208"/>
    </row>
    <row r="6" spans="2:18" ht="14.4" x14ac:dyDescent="0.3">
      <c r="B6" s="189" t="s">
        <v>136</v>
      </c>
      <c r="C6" s="194">
        <v>0.13777988854319329</v>
      </c>
      <c r="D6" s="194">
        <v>0.13809928388550194</v>
      </c>
      <c r="E6" s="194">
        <v>0.13867352036726863</v>
      </c>
      <c r="F6" s="209">
        <v>0.13796646260420969</v>
      </c>
      <c r="G6" s="194">
        <v>0.13817342821229711</v>
      </c>
      <c r="H6" s="194">
        <v>0.13811426560473727</v>
      </c>
      <c r="I6" s="194">
        <v>0.13801127398801191</v>
      </c>
      <c r="J6" s="209">
        <v>0.13697611915582741</v>
      </c>
      <c r="K6" s="194">
        <v>0.13780279907898674</v>
      </c>
      <c r="L6" s="194">
        <v>0.13652996163134501</v>
      </c>
      <c r="M6" s="194">
        <v>0.13692371272824699</v>
      </c>
      <c r="N6" s="209">
        <v>0.1349750544631127</v>
      </c>
      <c r="O6" s="194">
        <v>0.13354962115368088</v>
      </c>
      <c r="P6" s="194">
        <v>0.13253067752908959</v>
      </c>
      <c r="Q6" s="194">
        <v>0.13274254300609886</v>
      </c>
      <c r="R6" s="209">
        <v>0.13022609116219797</v>
      </c>
    </row>
    <row r="7" spans="2:18" ht="14.4" x14ac:dyDescent="0.3">
      <c r="B7" s="189" t="s">
        <v>137</v>
      </c>
      <c r="C7" s="194">
        <v>0.13777988854319329</v>
      </c>
      <c r="D7" s="194">
        <v>0.13809928388550194</v>
      </c>
      <c r="E7" s="194">
        <v>0.13867352036726863</v>
      </c>
      <c r="F7" s="209">
        <v>0.13796646260420969</v>
      </c>
      <c r="G7" s="194">
        <v>0.13817342821229711</v>
      </c>
      <c r="H7" s="194">
        <v>0.13811426560473727</v>
      </c>
      <c r="I7" s="194">
        <v>0.13801127398801191</v>
      </c>
      <c r="J7" s="209">
        <v>0.13697611915582741</v>
      </c>
      <c r="K7" s="194">
        <v>0.13780279907898674</v>
      </c>
      <c r="L7" s="194">
        <v>0.13652996163134501</v>
      </c>
      <c r="M7" s="194">
        <v>0.13692371272824699</v>
      </c>
      <c r="N7" s="209">
        <v>0.1349750544631127</v>
      </c>
      <c r="O7" s="194">
        <v>0.13354962115368088</v>
      </c>
      <c r="P7" s="194">
        <v>0.13253067752908959</v>
      </c>
      <c r="Q7" s="194">
        <v>0.13274254300609886</v>
      </c>
      <c r="R7" s="209">
        <v>0.13022609116219797</v>
      </c>
    </row>
    <row r="8" spans="2:18" ht="14.4" x14ac:dyDescent="0.3">
      <c r="B8" s="189" t="s">
        <v>138</v>
      </c>
      <c r="C8" s="194">
        <v>0.1527593299810541</v>
      </c>
      <c r="D8" s="194">
        <v>0.15151532791170413</v>
      </c>
      <c r="E8" s="194">
        <v>0.15109042215511129</v>
      </c>
      <c r="F8" s="209">
        <v>0.1590651450870624</v>
      </c>
      <c r="G8" s="194">
        <v>0.1594973663906738</v>
      </c>
      <c r="H8" s="194">
        <v>0.15810207250229802</v>
      </c>
      <c r="I8" s="194">
        <v>0.15795375616940557</v>
      </c>
      <c r="J8" s="209">
        <v>0.15682410658311138</v>
      </c>
      <c r="K8" s="194">
        <v>0.15794060282828962</v>
      </c>
      <c r="L8" s="194">
        <v>0.15519119714690768</v>
      </c>
      <c r="M8" s="194">
        <v>0.15558170238913796</v>
      </c>
      <c r="N8" s="209">
        <v>0.1533570158215746</v>
      </c>
      <c r="O8" s="194">
        <v>0.15184693606515504</v>
      </c>
      <c r="P8" s="194">
        <v>0.1506710045913906</v>
      </c>
      <c r="Q8" s="194">
        <v>0.15078049234023613</v>
      </c>
      <c r="R8" s="209">
        <v>0.14798220488553898</v>
      </c>
    </row>
    <row r="9" spans="2:18" ht="14.4" x14ac:dyDescent="0.3">
      <c r="B9" s="189" t="s">
        <v>139</v>
      </c>
      <c r="C9" s="194">
        <v>0.12727815599056228</v>
      </c>
      <c r="D9" s="194">
        <v>0.12355369463735992</v>
      </c>
      <c r="E9" s="194">
        <v>0.11764927907243705</v>
      </c>
      <c r="F9" s="209">
        <v>0.11482109592761043</v>
      </c>
      <c r="G9" s="194">
        <v>0.11536953661236199</v>
      </c>
      <c r="H9" s="194">
        <v>0.11626047527758131</v>
      </c>
      <c r="I9" s="194">
        <v>0.11676099952791814</v>
      </c>
      <c r="J9" s="209">
        <v>0.11617080162035423</v>
      </c>
      <c r="K9" s="194">
        <v>0.11596462932398517</v>
      </c>
      <c r="L9" s="194">
        <v>0.11621938963833588</v>
      </c>
      <c r="M9" s="194">
        <v>0.11623597294209194</v>
      </c>
      <c r="N9" s="209">
        <v>0.11534518843613675</v>
      </c>
      <c r="O9" s="194">
        <v>0.11500758294508386</v>
      </c>
      <c r="P9" s="194">
        <v>0.11525523762696978</v>
      </c>
      <c r="Q9" s="194">
        <v>0.11533363600795875</v>
      </c>
      <c r="R9" s="209">
        <v>0.11416506867714515</v>
      </c>
    </row>
    <row r="10" spans="2:18" ht="14.4" x14ac:dyDescent="0.3">
      <c r="B10" s="189" t="s">
        <v>140</v>
      </c>
      <c r="C10" s="194">
        <v>0.12766293553939081</v>
      </c>
      <c r="D10" s="194">
        <v>0.12534166390647153</v>
      </c>
      <c r="E10" s="194">
        <v>0.11908051048791225</v>
      </c>
      <c r="F10" s="209">
        <v>0.12022230996440206</v>
      </c>
      <c r="G10" s="194">
        <v>0.12026549888830251</v>
      </c>
      <c r="H10" s="194">
        <v>0.12120405753363898</v>
      </c>
      <c r="I10" s="194">
        <v>0.12112530653495492</v>
      </c>
      <c r="J10" s="209">
        <v>0.12029515803525458</v>
      </c>
      <c r="K10" s="194">
        <v>0.12073061297465021</v>
      </c>
      <c r="L10" s="194">
        <v>0.11996973257258445</v>
      </c>
      <c r="M10" s="194">
        <v>0.12045071061779747</v>
      </c>
      <c r="N10" s="209">
        <v>0.11893496200714793</v>
      </c>
      <c r="O10" s="194">
        <v>0.11927883593926968</v>
      </c>
      <c r="P10" s="194">
        <v>0.11856233425424753</v>
      </c>
      <c r="Q10" s="194">
        <v>0.11911907968325945</v>
      </c>
      <c r="R10" s="209">
        <v>0.11742247031406934</v>
      </c>
    </row>
    <row r="11" spans="2:18" x14ac:dyDescent="0.3">
      <c r="F11" s="208"/>
      <c r="J11" s="208"/>
      <c r="N11" s="208"/>
      <c r="R11" s="208"/>
    </row>
    <row r="12" spans="2:18" x14ac:dyDescent="0.3">
      <c r="B12" s="207" t="s">
        <v>141</v>
      </c>
      <c r="F12" s="208"/>
      <c r="J12" s="208"/>
      <c r="N12" s="208"/>
      <c r="R12" s="208"/>
    </row>
    <row r="13" spans="2:18" ht="14.4" x14ac:dyDescent="0.3">
      <c r="B13" s="189" t="s">
        <v>142</v>
      </c>
      <c r="C13" s="196">
        <v>10131.72083</v>
      </c>
      <c r="D13" s="196">
        <v>10148.475579999998</v>
      </c>
      <c r="E13" s="196">
        <v>10208.108269925933</v>
      </c>
      <c r="F13" s="210">
        <v>10189.966513847747</v>
      </c>
      <c r="G13" s="196">
        <v>10156.073522422057</v>
      </c>
      <c r="H13" s="196">
        <v>10192.994194648441</v>
      </c>
      <c r="I13" s="196">
        <v>10241.217345984742</v>
      </c>
      <c r="J13" s="210">
        <v>10261.374043484189</v>
      </c>
      <c r="K13" s="196">
        <v>10263.617985676752</v>
      </c>
      <c r="L13" s="196">
        <v>10333.847134601974</v>
      </c>
      <c r="M13" s="196">
        <v>10424.254253795105</v>
      </c>
      <c r="N13" s="210">
        <v>10444.060485487995</v>
      </c>
      <c r="O13" s="196">
        <v>10486.648067771572</v>
      </c>
      <c r="P13" s="196">
        <v>10600.151828128746</v>
      </c>
      <c r="Q13" s="196">
        <v>10733.299365977507</v>
      </c>
      <c r="R13" s="210">
        <v>10751.831039286893</v>
      </c>
    </row>
    <row r="14" spans="2:18" x14ac:dyDescent="0.3">
      <c r="B14" s="189" t="s">
        <v>143</v>
      </c>
      <c r="C14" s="189">
        <v>-426.26499999999942</v>
      </c>
      <c r="D14" s="189">
        <v>-347.15399999999863</v>
      </c>
      <c r="E14" s="189">
        <v>-395.25199999999859</v>
      </c>
      <c r="F14" s="208">
        <v>-395.25199999999859</v>
      </c>
      <c r="G14" s="189">
        <v>-395.25200000000223</v>
      </c>
      <c r="H14" s="189">
        <v>-395.25200000000041</v>
      </c>
      <c r="I14" s="189">
        <v>-395.25200000000041</v>
      </c>
      <c r="J14" s="208">
        <v>-395.25200000000223</v>
      </c>
      <c r="K14" s="189">
        <v>-395.25200000000041</v>
      </c>
      <c r="L14" s="189">
        <v>-395.25199999999859</v>
      </c>
      <c r="M14" s="189">
        <v>-395.25200000000041</v>
      </c>
      <c r="N14" s="208">
        <v>-395.25199999999859</v>
      </c>
      <c r="O14" s="189">
        <v>-395.25199999999859</v>
      </c>
      <c r="P14" s="189">
        <v>-395.25200000000041</v>
      </c>
      <c r="Q14" s="189">
        <v>-395.25200000000041</v>
      </c>
      <c r="R14" s="208">
        <v>-395.25200000000041</v>
      </c>
    </row>
    <row r="15" spans="2:18" x14ac:dyDescent="0.3">
      <c r="B15" s="198" t="s">
        <v>144</v>
      </c>
      <c r="C15" s="198">
        <v>9705.4558300000008</v>
      </c>
      <c r="D15" s="198">
        <v>9801.3215799999998</v>
      </c>
      <c r="E15" s="198">
        <v>9812.8562699259346</v>
      </c>
      <c r="F15" s="211">
        <v>9794.7145138477481</v>
      </c>
      <c r="G15" s="198">
        <v>9760.8215224220548</v>
      </c>
      <c r="H15" s="198">
        <v>9797.742194648441</v>
      </c>
      <c r="I15" s="198">
        <v>9845.9653459847414</v>
      </c>
      <c r="J15" s="211">
        <v>9866.1220434841871</v>
      </c>
      <c r="K15" s="198">
        <v>9868.3659856767517</v>
      </c>
      <c r="L15" s="198">
        <v>9938.5951346019756</v>
      </c>
      <c r="M15" s="198">
        <v>10029.002253795104</v>
      </c>
      <c r="N15" s="211">
        <v>10048.808485487996</v>
      </c>
      <c r="O15" s="198">
        <v>10091.396067771573</v>
      </c>
      <c r="P15" s="198">
        <v>10204.899828128746</v>
      </c>
      <c r="Q15" s="198">
        <v>10338.047365977507</v>
      </c>
      <c r="R15" s="211">
        <v>10356.579039286893</v>
      </c>
    </row>
    <row r="16" spans="2:18" ht="14.4" x14ac:dyDescent="0.3">
      <c r="B16" s="189" t="s">
        <v>145</v>
      </c>
      <c r="C16" s="196">
        <v>0</v>
      </c>
      <c r="D16" s="196">
        <v>0</v>
      </c>
      <c r="E16" s="196">
        <v>0</v>
      </c>
      <c r="F16" s="210">
        <v>0</v>
      </c>
      <c r="G16" s="196">
        <v>0</v>
      </c>
      <c r="H16" s="196">
        <v>0</v>
      </c>
      <c r="I16" s="196">
        <v>0</v>
      </c>
      <c r="J16" s="210">
        <v>0</v>
      </c>
      <c r="K16" s="196">
        <v>0</v>
      </c>
      <c r="L16" s="196">
        <v>0</v>
      </c>
      <c r="M16" s="196">
        <v>0</v>
      </c>
      <c r="N16" s="210">
        <v>0</v>
      </c>
      <c r="O16" s="196">
        <v>0</v>
      </c>
      <c r="P16" s="196">
        <v>0</v>
      </c>
      <c r="Q16" s="196">
        <v>0</v>
      </c>
      <c r="R16" s="210">
        <v>0</v>
      </c>
    </row>
    <row r="17" spans="2:18" x14ac:dyDescent="0.3">
      <c r="B17" s="198" t="s">
        <v>146</v>
      </c>
      <c r="C17" s="198">
        <v>9705.4558300000008</v>
      </c>
      <c r="D17" s="198">
        <v>9801.3215799999998</v>
      </c>
      <c r="E17" s="198">
        <v>9812.8562699259346</v>
      </c>
      <c r="F17" s="211">
        <v>9794.7145138477481</v>
      </c>
      <c r="G17" s="198">
        <v>9760.8215224220548</v>
      </c>
      <c r="H17" s="198">
        <v>9797.742194648441</v>
      </c>
      <c r="I17" s="198">
        <v>9845.9653459847414</v>
      </c>
      <c r="J17" s="211">
        <v>9866.1220434841871</v>
      </c>
      <c r="K17" s="198">
        <v>9868.3659856767517</v>
      </c>
      <c r="L17" s="198">
        <v>9938.5951346019756</v>
      </c>
      <c r="M17" s="198">
        <v>10029.002253795104</v>
      </c>
      <c r="N17" s="211">
        <v>10048.808485487996</v>
      </c>
      <c r="O17" s="198">
        <v>10091.396067771573</v>
      </c>
      <c r="P17" s="198">
        <v>10204.899828128746</v>
      </c>
      <c r="Q17" s="198">
        <v>10338.047365977507</v>
      </c>
      <c r="R17" s="211">
        <v>10356.579039286893</v>
      </c>
    </row>
    <row r="18" spans="2:18" ht="14.4" x14ac:dyDescent="0.3">
      <c r="B18" s="189" t="s">
        <v>147</v>
      </c>
      <c r="C18" s="196">
        <v>1055.1780000000001</v>
      </c>
      <c r="D18" s="196">
        <v>952.17700000000002</v>
      </c>
      <c r="E18" s="196">
        <v>878.64844160000007</v>
      </c>
      <c r="F18" s="210">
        <v>1497.8681603999999</v>
      </c>
      <c r="G18" s="196">
        <v>1506.3616601775302</v>
      </c>
      <c r="H18" s="196">
        <v>1417.9228927674123</v>
      </c>
      <c r="I18" s="196">
        <v>1422.731511687776</v>
      </c>
      <c r="J18" s="210">
        <v>1429.6117270803281</v>
      </c>
      <c r="K18" s="196">
        <v>1442.1130693575133</v>
      </c>
      <c r="L18" s="196">
        <v>1358.4305033456687</v>
      </c>
      <c r="M18" s="196">
        <v>1366.6078477709784</v>
      </c>
      <c r="N18" s="210">
        <v>1368.5255398752638</v>
      </c>
      <c r="O18" s="196">
        <v>1382.5980946509001</v>
      </c>
      <c r="P18" s="196">
        <v>1396.8103383433026</v>
      </c>
      <c r="Q18" s="196">
        <v>1404.8033914255029</v>
      </c>
      <c r="R18" s="210">
        <v>1412.102548461718</v>
      </c>
    </row>
    <row r="19" spans="2:18" x14ac:dyDescent="0.3">
      <c r="B19" s="200" t="s">
        <v>148</v>
      </c>
      <c r="C19" s="201">
        <v>10760.633830000001</v>
      </c>
      <c r="D19" s="201">
        <v>10753.498579999999</v>
      </c>
      <c r="E19" s="201">
        <v>10691.504711525935</v>
      </c>
      <c r="F19" s="212">
        <v>11292.582674247747</v>
      </c>
      <c r="G19" s="201">
        <v>11267.183182599585</v>
      </c>
      <c r="H19" s="201">
        <v>11215.665087415853</v>
      </c>
      <c r="I19" s="201">
        <v>11268.696857672518</v>
      </c>
      <c r="J19" s="212">
        <v>11295.733770564515</v>
      </c>
      <c r="K19" s="201">
        <v>11310.479055034264</v>
      </c>
      <c r="L19" s="201">
        <v>11297.025637947643</v>
      </c>
      <c r="M19" s="201">
        <v>11395.610101566082</v>
      </c>
      <c r="N19" s="212">
        <v>11417.33402536326</v>
      </c>
      <c r="O19" s="201">
        <v>11473.994162422472</v>
      </c>
      <c r="P19" s="201">
        <v>11601.710166472047</v>
      </c>
      <c r="Q19" s="201">
        <v>11742.85075740301</v>
      </c>
      <c r="R19" s="212">
        <v>11768.681587748611</v>
      </c>
    </row>
    <row r="20" spans="2:18" x14ac:dyDescent="0.3">
      <c r="F20" s="208"/>
      <c r="J20" s="208"/>
      <c r="N20" s="208"/>
      <c r="R20" s="208"/>
    </row>
    <row r="21" spans="2:18" ht="14.4" x14ac:dyDescent="0.3">
      <c r="B21" s="189" t="s">
        <v>150</v>
      </c>
      <c r="C21" s="196">
        <v>79363.057000000001</v>
      </c>
      <c r="D21" s="196">
        <v>80966.498000000007</v>
      </c>
      <c r="E21" s="196">
        <v>85724.424829049996</v>
      </c>
      <c r="F21" s="210">
        <v>84759.363855718679</v>
      </c>
      <c r="G21" s="196">
        <v>84447.107577000002</v>
      </c>
      <c r="H21" s="196">
        <v>84097.796740999998</v>
      </c>
      <c r="I21" s="196">
        <v>84550.600026999993</v>
      </c>
      <c r="J21" s="210">
        <v>85301.638162999996</v>
      </c>
      <c r="K21" s="196">
        <v>85012.555911000003</v>
      </c>
      <c r="L21" s="196">
        <v>86137.119030000002</v>
      </c>
      <c r="M21" s="196">
        <v>86543.733950000009</v>
      </c>
      <c r="N21" s="210">
        <v>87813.207397000006</v>
      </c>
      <c r="O21" s="196">
        <v>87917.089273999998</v>
      </c>
      <c r="P21" s="196">
        <v>89405.728174999997</v>
      </c>
      <c r="Q21" s="196">
        <v>90105.627028999996</v>
      </c>
      <c r="R21" s="210">
        <v>91565.362324000002</v>
      </c>
    </row>
    <row r="22" spans="2:18" ht="14.4" x14ac:dyDescent="0.3">
      <c r="B22" s="189" t="s">
        <v>151</v>
      </c>
      <c r="C22" s="196">
        <v>70441.7454</v>
      </c>
      <c r="D22" s="196">
        <v>70973.008000000002</v>
      </c>
      <c r="E22" s="196">
        <v>70762.292930453958</v>
      </c>
      <c r="F22" s="210">
        <v>70993.445283483612</v>
      </c>
      <c r="G22" s="196">
        <v>70641.813326256932</v>
      </c>
      <c r="H22" s="196">
        <v>70939.393202785723</v>
      </c>
      <c r="I22" s="196">
        <v>71341.746666580249</v>
      </c>
      <c r="J22" s="210">
        <v>72028.044773704256</v>
      </c>
      <c r="K22" s="196">
        <v>71612.231766209152</v>
      </c>
      <c r="L22" s="196">
        <v>72794.242493365193</v>
      </c>
      <c r="M22" s="196">
        <v>73245.181962745221</v>
      </c>
      <c r="N22" s="210">
        <v>74449.375297227467</v>
      </c>
      <c r="O22" s="196">
        <v>75562.89550352974</v>
      </c>
      <c r="P22" s="196">
        <v>77000.284148466977</v>
      </c>
      <c r="Q22" s="196">
        <v>77880.437814894991</v>
      </c>
      <c r="R22" s="210">
        <v>79527.681026589853</v>
      </c>
    </row>
    <row r="23" spans="2:18" ht="14.4" x14ac:dyDescent="0.3">
      <c r="B23" s="189" t="s">
        <v>153</v>
      </c>
      <c r="C23" s="196">
        <v>76253.900400000013</v>
      </c>
      <c r="D23" s="196">
        <v>79328.4378</v>
      </c>
      <c r="E23" s="196">
        <v>83407.704214525002</v>
      </c>
      <c r="F23" s="210">
        <v>85304.137142384337</v>
      </c>
      <c r="G23" s="196">
        <v>84604.842916359354</v>
      </c>
      <c r="H23" s="196">
        <v>84274.059359000006</v>
      </c>
      <c r="I23" s="196">
        <v>84325.805584000002</v>
      </c>
      <c r="J23" s="210">
        <v>84927.726295</v>
      </c>
      <c r="K23" s="196">
        <v>85098.068636999989</v>
      </c>
      <c r="L23" s="196">
        <v>85515.809070499992</v>
      </c>
      <c r="M23" s="196">
        <v>86281.398090000002</v>
      </c>
      <c r="N23" s="210">
        <v>87119.442273499997</v>
      </c>
      <c r="O23" s="196">
        <v>87745.484335500005</v>
      </c>
      <c r="P23" s="196">
        <v>88541.744724500008</v>
      </c>
      <c r="Q23" s="196">
        <v>89636.013601999992</v>
      </c>
      <c r="R23" s="210">
        <v>90715.830676499987</v>
      </c>
    </row>
    <row r="24" spans="2:18" x14ac:dyDescent="0.3">
      <c r="F24" s="208"/>
      <c r="J24" s="208"/>
      <c r="N24" s="208"/>
      <c r="R24" s="208"/>
    </row>
    <row r="25" spans="2:18" x14ac:dyDescent="0.3">
      <c r="B25" s="207" t="s">
        <v>154</v>
      </c>
      <c r="F25" s="208"/>
      <c r="J25" s="208"/>
      <c r="N25" s="208"/>
      <c r="R25" s="208"/>
    </row>
    <row r="26" spans="2:18" x14ac:dyDescent="0.3">
      <c r="B26" s="189" t="s">
        <v>155</v>
      </c>
      <c r="C26" s="189">
        <v>58747.02</v>
      </c>
      <c r="D26" s="189">
        <v>98410.35</v>
      </c>
      <c r="E26" s="189">
        <v>11189.689925934441</v>
      </c>
      <c r="F26" s="208">
        <v>31926.67853772852</v>
      </c>
      <c r="G26" s="189">
        <v>26742.608574309059</v>
      </c>
      <c r="H26" s="189">
        <v>36920.672226384988</v>
      </c>
      <c r="I26" s="189">
        <v>48223.15133630178</v>
      </c>
      <c r="J26" s="208">
        <v>64171.074044923662</v>
      </c>
      <c r="K26" s="189">
        <v>62879.542192566034</v>
      </c>
      <c r="L26" s="189">
        <v>70229.148925222631</v>
      </c>
      <c r="M26" s="189">
        <v>90407.119193128543</v>
      </c>
      <c r="N26" s="208">
        <v>100913.57902749437</v>
      </c>
      <c r="O26" s="189">
        <v>103223.18228357735</v>
      </c>
      <c r="P26" s="189">
        <v>113503.76035717336</v>
      </c>
      <c r="Q26" s="189">
        <v>133147.53784876168</v>
      </c>
      <c r="R26" s="208">
        <v>141333.72457568281</v>
      </c>
    </row>
    <row r="27" spans="2:18" ht="14.4" x14ac:dyDescent="0.3">
      <c r="B27" s="189" t="s">
        <v>165</v>
      </c>
      <c r="C27" s="213">
        <v>2.319330387629719E-2</v>
      </c>
      <c r="D27" s="213">
        <v>3.8788229512594447E-2</v>
      </c>
      <c r="E27" s="213">
        <v>4.384628230835028E-3</v>
      </c>
      <c r="F27" s="214">
        <v>1.2532594094138179E-2</v>
      </c>
      <c r="G27" s="213">
        <v>1.0532656548918478E-2</v>
      </c>
      <c r="H27" s="213">
        <v>1.4488646425706473E-2</v>
      </c>
      <c r="I27" s="213">
        <v>1.8834929367145425E-2</v>
      </c>
      <c r="J27" s="214">
        <v>2.501461257449095E-2</v>
      </c>
      <c r="K27" s="213">
        <v>2.4505799915903608E-2</v>
      </c>
      <c r="L27" s="213">
        <v>2.7184125335110301E-2</v>
      </c>
      <c r="M27" s="213">
        <v>3.4691064508605776E-2</v>
      </c>
      <c r="N27" s="214">
        <v>3.8649174492129235E-2</v>
      </c>
      <c r="O27" s="213">
        <v>3.937318449765137E-2</v>
      </c>
      <c r="P27" s="213">
        <v>4.2830994196131351E-2</v>
      </c>
      <c r="Q27" s="213">
        <v>4.9620357472116627E-2</v>
      </c>
      <c r="R27" s="214">
        <v>5.2580336896758617E-2</v>
      </c>
    </row>
    <row r="28" spans="2:18" x14ac:dyDescent="0.3">
      <c r="B28" s="189" t="s">
        <v>156</v>
      </c>
      <c r="C28" s="189">
        <v>460792</v>
      </c>
      <c r="D28" s="189">
        <v>465692</v>
      </c>
      <c r="E28" s="189">
        <v>465692</v>
      </c>
      <c r="F28" s="208">
        <v>465692</v>
      </c>
      <c r="G28" s="189">
        <v>465692</v>
      </c>
      <c r="H28" s="189">
        <v>465692</v>
      </c>
      <c r="I28" s="189">
        <v>465692</v>
      </c>
      <c r="J28" s="208">
        <v>465692</v>
      </c>
      <c r="K28" s="189">
        <v>465692</v>
      </c>
      <c r="L28" s="189">
        <v>465692</v>
      </c>
      <c r="M28" s="189">
        <v>465692</v>
      </c>
      <c r="N28" s="208">
        <v>465692</v>
      </c>
      <c r="O28" s="189">
        <v>465692</v>
      </c>
      <c r="P28" s="189">
        <v>465692</v>
      </c>
      <c r="Q28" s="189">
        <v>465692</v>
      </c>
      <c r="R28" s="208">
        <v>465692</v>
      </c>
    </row>
    <row r="29" spans="2:18" x14ac:dyDescent="0.3">
      <c r="F29" s="208"/>
      <c r="J29" s="208"/>
      <c r="N29" s="208"/>
      <c r="R29" s="208"/>
    </row>
    <row r="30" spans="2:18" x14ac:dyDescent="0.3">
      <c r="B30" s="189" t="s">
        <v>157</v>
      </c>
      <c r="C30" s="189">
        <v>0</v>
      </c>
      <c r="D30" s="189">
        <v>0</v>
      </c>
      <c r="E30" s="189">
        <v>0</v>
      </c>
      <c r="F30" s="208">
        <v>0</v>
      </c>
      <c r="G30" s="189">
        <v>0</v>
      </c>
      <c r="H30" s="189">
        <v>0</v>
      </c>
      <c r="I30" s="189">
        <v>0</v>
      </c>
      <c r="J30" s="208">
        <v>0</v>
      </c>
      <c r="K30" s="189">
        <v>0</v>
      </c>
      <c r="L30" s="189">
        <v>0</v>
      </c>
      <c r="M30" s="189">
        <v>0</v>
      </c>
      <c r="N30" s="208">
        <v>0</v>
      </c>
      <c r="O30" s="189">
        <v>0</v>
      </c>
      <c r="P30" s="189">
        <v>0</v>
      </c>
      <c r="Q30" s="189">
        <v>0</v>
      </c>
      <c r="R30" s="208">
        <v>0</v>
      </c>
    </row>
    <row r="31" spans="2:18" x14ac:dyDescent="0.3">
      <c r="B31" s="189" t="s">
        <v>159</v>
      </c>
      <c r="C31" s="189">
        <v>0</v>
      </c>
      <c r="D31" s="189">
        <v>0</v>
      </c>
      <c r="E31" s="189">
        <v>0</v>
      </c>
      <c r="F31" s="208">
        <v>50068.434615915743</v>
      </c>
      <c r="G31" s="189">
        <v>0</v>
      </c>
      <c r="H31" s="189">
        <v>0</v>
      </c>
      <c r="I31" s="189">
        <v>0</v>
      </c>
      <c r="J31" s="208">
        <v>44014.37654547987</v>
      </c>
      <c r="K31" s="189">
        <v>0</v>
      </c>
      <c r="L31" s="189">
        <v>0</v>
      </c>
      <c r="M31" s="189">
        <v>0</v>
      </c>
      <c r="N31" s="208">
        <v>81107.347334602891</v>
      </c>
      <c r="O31" s="189">
        <v>0</v>
      </c>
      <c r="P31" s="189">
        <v>0</v>
      </c>
      <c r="Q31" s="189">
        <v>0</v>
      </c>
      <c r="R31" s="208">
        <v>122802.0512662988</v>
      </c>
    </row>
    <row r="32" spans="2:18" ht="14.4" x14ac:dyDescent="0.3">
      <c r="F32" s="215">
        <v>0.25</v>
      </c>
      <c r="J32" s="215">
        <v>0.25</v>
      </c>
      <c r="N32" s="215">
        <v>0.25</v>
      </c>
      <c r="R32" s="215">
        <v>0.25</v>
      </c>
    </row>
    <row r="33" spans="2:18" x14ac:dyDescent="0.3">
      <c r="B33" s="207" t="s">
        <v>166</v>
      </c>
      <c r="F33" s="208"/>
      <c r="J33" s="208"/>
      <c r="N33" s="208"/>
      <c r="R33" s="208"/>
    </row>
    <row r="34" spans="2:18" ht="14.4" x14ac:dyDescent="0.3">
      <c r="B34" s="189" t="s">
        <v>167</v>
      </c>
      <c r="D34" s="213">
        <v>8.08154857240444E-2</v>
      </c>
      <c r="E34" s="213">
        <v>0.23505657014089909</v>
      </c>
      <c r="F34" s="214">
        <v>-4.5030852070728766E-2</v>
      </c>
      <c r="G34" s="213">
        <v>-1.4736131302269584E-2</v>
      </c>
      <c r="H34" s="213">
        <v>-1.6545780952011757E-2</v>
      </c>
      <c r="I34" s="213">
        <v>2.1536986867539909E-2</v>
      </c>
      <c r="J34" s="214">
        <v>3.5530824654594007E-2</v>
      </c>
      <c r="K34" s="213">
        <v>-1.3555765550368193E-2</v>
      </c>
      <c r="L34" s="213">
        <v>5.2912801265606824E-2</v>
      </c>
      <c r="M34" s="213">
        <v>1.8882215917083833E-2</v>
      </c>
      <c r="N34" s="214">
        <v>5.867430900235604E-2</v>
      </c>
      <c r="O34" s="213">
        <v>4.7319477367615548E-3</v>
      </c>
      <c r="P34" s="213">
        <v>6.7729216847047802E-2</v>
      </c>
      <c r="Q34" s="213">
        <v>3.131337860724237E-2</v>
      </c>
      <c r="R34" s="214">
        <v>6.4801071503789665E-2</v>
      </c>
    </row>
    <row r="35" spans="2:18" ht="14.4" x14ac:dyDescent="0.3">
      <c r="B35" s="189" t="s">
        <v>168</v>
      </c>
      <c r="D35" s="213">
        <v>3.0167486451861514E-2</v>
      </c>
      <c r="E35" s="213">
        <v>-1.187578632970121E-2</v>
      </c>
      <c r="F35" s="214">
        <v>1.3066413959018419E-2</v>
      </c>
      <c r="G35" s="213">
        <v>-1.9812080161630607E-2</v>
      </c>
      <c r="H35" s="213">
        <v>1.6850070094006853E-2</v>
      </c>
      <c r="I35" s="213">
        <v>2.2687166925399183E-2</v>
      </c>
      <c r="J35" s="214">
        <v>3.8479467587552385E-2</v>
      </c>
      <c r="K35" s="213">
        <v>-2.3091728162356606E-2</v>
      </c>
      <c r="L35" s="213">
        <v>6.6022839841937575E-2</v>
      </c>
      <c r="M35" s="213">
        <v>2.4778853597996253E-2</v>
      </c>
      <c r="N35" s="214">
        <v>6.5762323320855742E-2</v>
      </c>
      <c r="O35" s="213">
        <v>5.9826973798327465E-2</v>
      </c>
      <c r="P35" s="213">
        <v>7.6089654074735336E-2</v>
      </c>
      <c r="Q35" s="213">
        <v>4.5722099660357785E-2</v>
      </c>
      <c r="R35" s="214">
        <v>8.4603695506181076E-2</v>
      </c>
    </row>
    <row r="38" spans="2:18" x14ac:dyDescent="0.3">
      <c r="B38" s="189" t="s">
        <v>169</v>
      </c>
    </row>
    <row r="39" spans="2:18" x14ac:dyDescent="0.3">
      <c r="B39" s="190" t="s">
        <v>134</v>
      </c>
      <c r="C39" s="190">
        <v>42094</v>
      </c>
      <c r="D39" s="190">
        <v>42185</v>
      </c>
      <c r="E39" s="190">
        <v>42277</v>
      </c>
      <c r="F39" s="206">
        <v>42369</v>
      </c>
      <c r="G39" s="190">
        <v>42460</v>
      </c>
      <c r="H39" s="190">
        <v>42551</v>
      </c>
      <c r="I39" s="190">
        <v>42643</v>
      </c>
      <c r="J39" s="206">
        <v>42735</v>
      </c>
      <c r="K39" s="190">
        <v>42825</v>
      </c>
      <c r="L39" s="190">
        <v>42916</v>
      </c>
      <c r="M39" s="190">
        <v>43008</v>
      </c>
      <c r="N39" s="206">
        <v>43100</v>
      </c>
      <c r="O39" s="190">
        <v>43190</v>
      </c>
      <c r="P39" s="190">
        <v>43281</v>
      </c>
      <c r="Q39" s="190">
        <v>43373</v>
      </c>
      <c r="R39" s="206">
        <v>43465</v>
      </c>
    </row>
    <row r="40" spans="2:18" x14ac:dyDescent="0.3">
      <c r="B40" s="192" t="s">
        <v>135</v>
      </c>
      <c r="F40" s="208"/>
      <c r="J40" s="208"/>
      <c r="N40" s="208"/>
      <c r="R40" s="208"/>
    </row>
    <row r="41" spans="2:18" ht="14.4" x14ac:dyDescent="0.3">
      <c r="B41" s="189" t="s">
        <v>136</v>
      </c>
      <c r="C41" s="194">
        <v>0.1334084679213941</v>
      </c>
      <c r="D41" s="194">
        <v>0.13377870882174339</v>
      </c>
      <c r="E41" s="194">
        <v>0.13432437261311791</v>
      </c>
      <c r="F41" s="209">
        <v>0.13364050061394123</v>
      </c>
      <c r="G41" s="194">
        <v>0.13455663826651679</v>
      </c>
      <c r="H41" s="194">
        <v>0.13451325755079957</v>
      </c>
      <c r="I41" s="194">
        <v>0.13443171508368404</v>
      </c>
      <c r="J41" s="209">
        <v>0.13344434146658948</v>
      </c>
      <c r="K41" s="194">
        <v>0.13496182243327184</v>
      </c>
      <c r="L41" s="194">
        <v>0.13375269242360766</v>
      </c>
      <c r="M41" s="194">
        <v>0.13415769096901745</v>
      </c>
      <c r="N41" s="209">
        <v>0.13228045396359847</v>
      </c>
      <c r="O41" s="194">
        <v>0.13354962115368088</v>
      </c>
      <c r="P41" s="194">
        <v>0.13253067752908959</v>
      </c>
      <c r="Q41" s="194">
        <v>0.13274254300609886</v>
      </c>
      <c r="R41" s="209">
        <v>0.13022609116219797</v>
      </c>
    </row>
    <row r="42" spans="2:18" ht="14.4" x14ac:dyDescent="0.3">
      <c r="B42" s="189" t="s">
        <v>137</v>
      </c>
      <c r="C42" s="194">
        <v>0.1334084679213941</v>
      </c>
      <c r="D42" s="194">
        <v>0.13377870882174339</v>
      </c>
      <c r="E42" s="194">
        <v>0.13432437261311791</v>
      </c>
      <c r="F42" s="209">
        <v>0.13364050061394123</v>
      </c>
      <c r="G42" s="194">
        <v>0.13455663826651679</v>
      </c>
      <c r="H42" s="194">
        <v>0.13451325755079957</v>
      </c>
      <c r="I42" s="194">
        <v>0.13443171508368404</v>
      </c>
      <c r="J42" s="209">
        <v>0.13344434146658948</v>
      </c>
      <c r="K42" s="194">
        <v>0.13496182243327184</v>
      </c>
      <c r="L42" s="194">
        <v>0.13375269242360766</v>
      </c>
      <c r="M42" s="194">
        <v>0.13415769096901745</v>
      </c>
      <c r="N42" s="209">
        <v>0.13228045396359847</v>
      </c>
      <c r="O42" s="194">
        <v>0.13354962115368088</v>
      </c>
      <c r="P42" s="194">
        <v>0.13253067752908959</v>
      </c>
      <c r="Q42" s="194">
        <v>0.13274254300609886</v>
      </c>
      <c r="R42" s="209">
        <v>0.13022609116219797</v>
      </c>
    </row>
    <row r="43" spans="2:18" ht="14.4" x14ac:dyDescent="0.3">
      <c r="B43" s="189" t="s">
        <v>138</v>
      </c>
      <c r="C43" s="194">
        <v>0.14819342946925379</v>
      </c>
      <c r="D43" s="194">
        <v>0.14702078357816234</v>
      </c>
      <c r="E43" s="194">
        <v>0.14657902113286783</v>
      </c>
      <c r="F43" s="209">
        <v>0.15446436984843923</v>
      </c>
      <c r="G43" s="194">
        <v>0.1555836524142192</v>
      </c>
      <c r="H43" s="194">
        <v>0.1542238966223661</v>
      </c>
      <c r="I43" s="194">
        <v>0.1540991960706064</v>
      </c>
      <c r="J43" s="209">
        <v>0.15302120298425007</v>
      </c>
      <c r="K43" s="194">
        <v>0.15480639404584062</v>
      </c>
      <c r="L43" s="194">
        <v>0.15214654559301738</v>
      </c>
      <c r="M43" s="194">
        <v>0.15254996722495676</v>
      </c>
      <c r="N43" s="209">
        <v>0.15040480781198842</v>
      </c>
      <c r="O43" s="194">
        <v>0.15184693606515504</v>
      </c>
      <c r="P43" s="194">
        <v>0.1506710045913906</v>
      </c>
      <c r="Q43" s="194">
        <v>0.15078049234023613</v>
      </c>
      <c r="R43" s="209">
        <v>0.14798220488553898</v>
      </c>
    </row>
    <row r="44" spans="2:18" ht="14.4" x14ac:dyDescent="0.3">
      <c r="B44" s="189" t="s">
        <v>139</v>
      </c>
      <c r="C44" s="194">
        <v>0.12516355328037551</v>
      </c>
      <c r="D44" s="194">
        <v>0.12153931016888156</v>
      </c>
      <c r="E44" s="194">
        <v>0.11572072325071037</v>
      </c>
      <c r="F44" s="209">
        <v>0.11292946243516491</v>
      </c>
      <c r="G44" s="194">
        <v>0.11409970159388348</v>
      </c>
      <c r="H44" s="194">
        <v>0.11498693277239393</v>
      </c>
      <c r="I44" s="194">
        <v>0.11548896050700763</v>
      </c>
      <c r="J44" s="209">
        <v>0.11490694703095451</v>
      </c>
      <c r="K44" s="194">
        <v>0.1153342714544239</v>
      </c>
      <c r="L44" s="194">
        <v>0.11559229398805151</v>
      </c>
      <c r="M44" s="194">
        <v>0.11561445719006774</v>
      </c>
      <c r="N44" s="209">
        <v>0.11472903508713399</v>
      </c>
      <c r="O44" s="194">
        <v>0.11500758294508386</v>
      </c>
      <c r="P44" s="194">
        <v>0.11525523762696978</v>
      </c>
      <c r="Q44" s="194">
        <v>0.11533363600795875</v>
      </c>
      <c r="R44" s="209">
        <v>0.11416506867714515</v>
      </c>
    </row>
    <row r="45" spans="2:18" ht="14.4" x14ac:dyDescent="0.3">
      <c r="B45" s="189" t="s">
        <v>140</v>
      </c>
      <c r="C45" s="194">
        <v>0.12534048971929093</v>
      </c>
      <c r="D45" s="194">
        <v>0.12309497170051741</v>
      </c>
      <c r="E45" s="194">
        <v>0.11695851549800415</v>
      </c>
      <c r="F45" s="209">
        <v>0.11807615416845189</v>
      </c>
      <c r="G45" s="194">
        <v>0.11882943786170755</v>
      </c>
      <c r="H45" s="194">
        <v>0.11976203164592776</v>
      </c>
      <c r="I45" s="194">
        <v>0.11969100328978252</v>
      </c>
      <c r="J45" s="209">
        <v>0.11887348311069723</v>
      </c>
      <c r="K45" s="194">
        <v>0.12001735833420063</v>
      </c>
      <c r="L45" s="194">
        <v>0.1192657898277745</v>
      </c>
      <c r="M45" s="194">
        <v>0.11975007526001372</v>
      </c>
      <c r="N45" s="209">
        <v>0.11824445539888946</v>
      </c>
      <c r="O45" s="194">
        <v>0.11927883593926968</v>
      </c>
      <c r="P45" s="194">
        <v>0.11856233425424753</v>
      </c>
      <c r="Q45" s="194">
        <v>0.11911907968325945</v>
      </c>
      <c r="R45" s="209">
        <v>0.11742247031406934</v>
      </c>
    </row>
    <row r="46" spans="2:18" x14ac:dyDescent="0.3">
      <c r="F46" s="208"/>
      <c r="J46" s="208"/>
      <c r="N46" s="208"/>
      <c r="R46" s="208"/>
    </row>
    <row r="47" spans="2:18" x14ac:dyDescent="0.3">
      <c r="B47" s="192" t="s">
        <v>141</v>
      </c>
      <c r="F47" s="208"/>
      <c r="J47" s="208"/>
      <c r="N47" s="208"/>
      <c r="R47" s="208"/>
    </row>
    <row r="48" spans="2:18" ht="14.4" x14ac:dyDescent="0.3">
      <c r="B48" s="189" t="s">
        <v>142</v>
      </c>
      <c r="C48" s="196">
        <v>9947.4044300000005</v>
      </c>
      <c r="D48" s="196">
        <v>9966.5687799999996</v>
      </c>
      <c r="E48" s="196">
        <v>10026.201469925934</v>
      </c>
      <c r="F48" s="210">
        <v>10008.059713847748</v>
      </c>
      <c r="G48" s="196">
        <v>10034.802322422056</v>
      </c>
      <c r="H48" s="196">
        <v>10071.722994648442</v>
      </c>
      <c r="I48" s="196">
        <v>10119.946145984743</v>
      </c>
      <c r="J48" s="210">
        <v>10140.102843484188</v>
      </c>
      <c r="K48" s="196">
        <v>10202.982385676753</v>
      </c>
      <c r="L48" s="196">
        <v>10273.211534601975</v>
      </c>
      <c r="M48" s="196">
        <v>10363.618653795105</v>
      </c>
      <c r="N48" s="210">
        <v>10383.424885487995</v>
      </c>
      <c r="O48" s="196">
        <v>10486.648067771572</v>
      </c>
      <c r="P48" s="196">
        <v>10600.151828128746</v>
      </c>
      <c r="Q48" s="196">
        <v>10733.299365977507</v>
      </c>
      <c r="R48" s="210">
        <v>10751.831039286893</v>
      </c>
    </row>
    <row r="49" spans="2:18" x14ac:dyDescent="0.3">
      <c r="B49" s="189" t="s">
        <v>143</v>
      </c>
      <c r="C49" s="189">
        <v>-426.26500000000124</v>
      </c>
      <c r="D49" s="189">
        <v>-347.15400000000045</v>
      </c>
      <c r="E49" s="189">
        <v>-395.25200000000041</v>
      </c>
      <c r="F49" s="208">
        <v>-395.25200000000041</v>
      </c>
      <c r="G49" s="189">
        <v>-395.25200000000041</v>
      </c>
      <c r="H49" s="189">
        <v>-395.25200000000041</v>
      </c>
      <c r="I49" s="189">
        <v>-395.25200000000041</v>
      </c>
      <c r="J49" s="208">
        <v>-395.25200000000041</v>
      </c>
      <c r="K49" s="189">
        <v>-395.25200000000041</v>
      </c>
      <c r="L49" s="189">
        <v>-395.25199999999859</v>
      </c>
      <c r="M49" s="189">
        <v>-395.25200000000041</v>
      </c>
      <c r="N49" s="208">
        <v>-395.25199999999859</v>
      </c>
      <c r="O49" s="189">
        <v>-395.25199999999859</v>
      </c>
      <c r="P49" s="189">
        <v>-395.25200000000041</v>
      </c>
      <c r="Q49" s="189">
        <v>-395.25200000000041</v>
      </c>
      <c r="R49" s="208">
        <v>-395.25200000000041</v>
      </c>
    </row>
    <row r="50" spans="2:18" x14ac:dyDescent="0.3">
      <c r="B50" s="198" t="s">
        <v>144</v>
      </c>
      <c r="C50" s="198">
        <v>9521.1394299999993</v>
      </c>
      <c r="D50" s="198">
        <v>9619.4147799999992</v>
      </c>
      <c r="E50" s="198">
        <v>9630.949469925934</v>
      </c>
      <c r="F50" s="211">
        <v>9612.8077138477474</v>
      </c>
      <c r="G50" s="198">
        <v>9639.5503224220556</v>
      </c>
      <c r="H50" s="198">
        <v>9676.4709946484418</v>
      </c>
      <c r="I50" s="198">
        <v>9724.6941459847421</v>
      </c>
      <c r="J50" s="211">
        <v>9744.8508434841879</v>
      </c>
      <c r="K50" s="198">
        <v>9807.7303856767521</v>
      </c>
      <c r="L50" s="198">
        <v>9877.959534601976</v>
      </c>
      <c r="M50" s="198">
        <v>9968.3666537951049</v>
      </c>
      <c r="N50" s="211">
        <v>9988.1728854879966</v>
      </c>
      <c r="O50" s="198">
        <v>10091.396067771573</v>
      </c>
      <c r="P50" s="198">
        <v>10204.899828128746</v>
      </c>
      <c r="Q50" s="198">
        <v>10338.047365977507</v>
      </c>
      <c r="R50" s="211">
        <v>10356.579039286893</v>
      </c>
    </row>
    <row r="51" spans="2:18" ht="14.4" x14ac:dyDescent="0.3">
      <c r="B51" s="189" t="s">
        <v>145</v>
      </c>
      <c r="C51" s="196">
        <v>0</v>
      </c>
      <c r="D51" s="196">
        <v>0</v>
      </c>
      <c r="E51" s="196">
        <v>0</v>
      </c>
      <c r="F51" s="210">
        <v>0</v>
      </c>
      <c r="G51" s="196">
        <v>0</v>
      </c>
      <c r="H51" s="196">
        <v>0</v>
      </c>
      <c r="I51" s="196">
        <v>0</v>
      </c>
      <c r="J51" s="210">
        <v>0</v>
      </c>
      <c r="K51" s="196">
        <v>0</v>
      </c>
      <c r="L51" s="196">
        <v>0</v>
      </c>
      <c r="M51" s="196">
        <v>0</v>
      </c>
      <c r="N51" s="210">
        <v>0</v>
      </c>
      <c r="O51" s="196">
        <v>0</v>
      </c>
      <c r="P51" s="196">
        <v>0</v>
      </c>
      <c r="Q51" s="196">
        <v>0</v>
      </c>
      <c r="R51" s="210">
        <v>0</v>
      </c>
    </row>
    <row r="52" spans="2:18" x14ac:dyDescent="0.3">
      <c r="B52" s="198" t="s">
        <v>146</v>
      </c>
      <c r="C52" s="198">
        <v>9521.1394299999993</v>
      </c>
      <c r="D52" s="198">
        <v>9619.4147799999992</v>
      </c>
      <c r="E52" s="198">
        <v>9630.949469925934</v>
      </c>
      <c r="F52" s="211">
        <v>9612.8077138477474</v>
      </c>
      <c r="G52" s="198">
        <v>9639.5503224220556</v>
      </c>
      <c r="H52" s="198">
        <v>9676.4709946484418</v>
      </c>
      <c r="I52" s="198">
        <v>9724.6941459847421</v>
      </c>
      <c r="J52" s="211">
        <v>9744.8508434841879</v>
      </c>
      <c r="K52" s="198">
        <v>9807.7303856767521</v>
      </c>
      <c r="L52" s="198">
        <v>9877.959534601976</v>
      </c>
      <c r="M52" s="198">
        <v>9968.3666537951049</v>
      </c>
      <c r="N52" s="211">
        <v>9988.1728854879966</v>
      </c>
      <c r="O52" s="198">
        <v>10091.396067771573</v>
      </c>
      <c r="P52" s="198">
        <v>10204.899828128746</v>
      </c>
      <c r="Q52" s="198">
        <v>10338.047365977507</v>
      </c>
      <c r="R52" s="211">
        <v>10356.579039286893</v>
      </c>
    </row>
    <row r="53" spans="2:18" ht="14.4" x14ac:dyDescent="0.3">
      <c r="B53" s="189" t="s">
        <v>147</v>
      </c>
      <c r="C53" s="196">
        <v>1055.1780000000001</v>
      </c>
      <c r="D53" s="196">
        <v>952.17700000000002</v>
      </c>
      <c r="E53" s="196">
        <v>878.64844160000007</v>
      </c>
      <c r="F53" s="210">
        <v>1497.8681603999999</v>
      </c>
      <c r="G53" s="196">
        <v>1506.3616601775302</v>
      </c>
      <c r="H53" s="196">
        <v>1417.9228927674123</v>
      </c>
      <c r="I53" s="196">
        <v>1422.731511687776</v>
      </c>
      <c r="J53" s="210">
        <v>1429.6117270803281</v>
      </c>
      <c r="K53" s="196">
        <v>1442.1130693575133</v>
      </c>
      <c r="L53" s="196">
        <v>1358.4305033456687</v>
      </c>
      <c r="M53" s="196">
        <v>1366.6078477709784</v>
      </c>
      <c r="N53" s="210">
        <v>1368.5255398752638</v>
      </c>
      <c r="O53" s="196">
        <v>1382.5980946509001</v>
      </c>
      <c r="P53" s="196">
        <v>1396.8103383433026</v>
      </c>
      <c r="Q53" s="196">
        <v>1404.8033914255029</v>
      </c>
      <c r="R53" s="210">
        <v>1412.102548461718</v>
      </c>
    </row>
    <row r="54" spans="2:18" x14ac:dyDescent="0.3">
      <c r="B54" s="200" t="s">
        <v>148</v>
      </c>
      <c r="C54" s="201">
        <v>10576.317429999999</v>
      </c>
      <c r="D54" s="201">
        <v>10571.591779999999</v>
      </c>
      <c r="E54" s="201">
        <v>10509.597911525934</v>
      </c>
      <c r="F54" s="212">
        <v>11110.675874247747</v>
      </c>
      <c r="G54" s="201">
        <v>11145.911982599586</v>
      </c>
      <c r="H54" s="201">
        <v>11094.393887415854</v>
      </c>
      <c r="I54" s="201">
        <v>11147.425657672518</v>
      </c>
      <c r="J54" s="212">
        <v>11174.462570564516</v>
      </c>
      <c r="K54" s="201">
        <v>11249.843455034264</v>
      </c>
      <c r="L54" s="201">
        <v>11236.390037947644</v>
      </c>
      <c r="M54" s="201">
        <v>11334.974501566083</v>
      </c>
      <c r="N54" s="212">
        <v>11356.69842536326</v>
      </c>
      <c r="O54" s="201">
        <v>11473.994162422472</v>
      </c>
      <c r="P54" s="201">
        <v>11601.710166472047</v>
      </c>
      <c r="Q54" s="201">
        <v>11742.85075740301</v>
      </c>
      <c r="R54" s="212">
        <v>11768.681587748611</v>
      </c>
    </row>
    <row r="55" spans="2:18" x14ac:dyDescent="0.3">
      <c r="F55" s="208"/>
      <c r="J55" s="208"/>
      <c r="N55" s="208"/>
      <c r="R55" s="208"/>
    </row>
    <row r="56" spans="2:18" ht="14.4" x14ac:dyDescent="0.3">
      <c r="B56" s="189" t="s">
        <v>150</v>
      </c>
      <c r="C56" s="196">
        <v>79363.057000000001</v>
      </c>
      <c r="D56" s="196">
        <v>80966.498000000007</v>
      </c>
      <c r="E56" s="196">
        <v>85724.424829049996</v>
      </c>
      <c r="F56" s="210">
        <v>84759.363855718679</v>
      </c>
      <c r="G56" s="196">
        <v>84447.107577000002</v>
      </c>
      <c r="H56" s="196">
        <v>84097.796740999998</v>
      </c>
      <c r="I56" s="196">
        <v>84550.600026999993</v>
      </c>
      <c r="J56" s="210">
        <v>85301.638162999996</v>
      </c>
      <c r="K56" s="196">
        <v>85012.555911000003</v>
      </c>
      <c r="L56" s="196">
        <v>86137.119030000002</v>
      </c>
      <c r="M56" s="196">
        <v>86543.733950000009</v>
      </c>
      <c r="N56" s="210">
        <v>87813.207397000006</v>
      </c>
      <c r="O56" s="196">
        <v>87917.089273999998</v>
      </c>
      <c r="P56" s="196">
        <v>89405.728174999997</v>
      </c>
      <c r="Q56" s="196">
        <v>90105.627028999996</v>
      </c>
      <c r="R56" s="210">
        <v>91565.362324000002</v>
      </c>
    </row>
    <row r="57" spans="2:18" ht="14.4" x14ac:dyDescent="0.3">
      <c r="B57" s="189" t="s">
        <v>151</v>
      </c>
      <c r="C57" s="196">
        <v>71368.328999999998</v>
      </c>
      <c r="D57" s="196">
        <v>71905.423999999999</v>
      </c>
      <c r="E57" s="196">
        <v>71699.195630453964</v>
      </c>
      <c r="F57" s="210">
        <v>71930.347983483618</v>
      </c>
      <c r="G57" s="196">
        <v>71639.351626256932</v>
      </c>
      <c r="H57" s="196">
        <v>71936.931502785708</v>
      </c>
      <c r="I57" s="196">
        <v>72339.284966580235</v>
      </c>
      <c r="J57" s="210">
        <v>73025.583073704256</v>
      </c>
      <c r="K57" s="196">
        <v>72670.405666209161</v>
      </c>
      <c r="L57" s="196">
        <v>73852.416393365202</v>
      </c>
      <c r="M57" s="196">
        <v>74303.355862745229</v>
      </c>
      <c r="N57" s="210">
        <v>75507.549197227476</v>
      </c>
      <c r="O57" s="196">
        <v>75562.89550352974</v>
      </c>
      <c r="P57" s="196">
        <v>77000.284148466977</v>
      </c>
      <c r="Q57" s="196">
        <v>77880.437814894991</v>
      </c>
      <c r="R57" s="210">
        <v>79527.681026589853</v>
      </c>
    </row>
    <row r="58" spans="2:18" ht="14.4" x14ac:dyDescent="0.3">
      <c r="B58" s="189" t="s">
        <v>153</v>
      </c>
      <c r="C58" s="196">
        <v>76069.584000000003</v>
      </c>
      <c r="D58" s="196">
        <v>79146.531000000003</v>
      </c>
      <c r="E58" s="196">
        <v>83225.797414525005</v>
      </c>
      <c r="F58" s="210">
        <v>85122.23034238434</v>
      </c>
      <c r="G58" s="196">
        <v>84483.571716359351</v>
      </c>
      <c r="H58" s="196">
        <v>84152.788159000003</v>
      </c>
      <c r="I58" s="196">
        <v>84204.534383999999</v>
      </c>
      <c r="J58" s="210">
        <v>84806.455094999998</v>
      </c>
      <c r="K58" s="196">
        <v>85037.433036999995</v>
      </c>
      <c r="L58" s="196">
        <v>85455.173470499998</v>
      </c>
      <c r="M58" s="196">
        <v>86220.762490000008</v>
      </c>
      <c r="N58" s="210">
        <v>87058.806673500003</v>
      </c>
      <c r="O58" s="196">
        <v>87745.484335500005</v>
      </c>
      <c r="P58" s="196">
        <v>88541.744724500008</v>
      </c>
      <c r="Q58" s="196">
        <v>89636.013601999992</v>
      </c>
      <c r="R58" s="210">
        <v>90715.830676499987</v>
      </c>
    </row>
    <row r="59" spans="2:18" x14ac:dyDescent="0.3">
      <c r="F59" s="208"/>
      <c r="J59" s="208"/>
      <c r="N59" s="208"/>
      <c r="R59" s="208"/>
    </row>
    <row r="60" spans="2:18" x14ac:dyDescent="0.3">
      <c r="B60" s="192" t="s">
        <v>154</v>
      </c>
      <c r="F60" s="208"/>
      <c r="J60" s="208"/>
      <c r="N60" s="208"/>
      <c r="R60" s="208"/>
    </row>
    <row r="61" spans="2:18" x14ac:dyDescent="0.3">
      <c r="B61" s="189" t="s">
        <v>155</v>
      </c>
      <c r="C61" s="189">
        <v>58747.02</v>
      </c>
      <c r="D61" s="189">
        <v>98410.35</v>
      </c>
      <c r="E61" s="189">
        <v>11189.689925934441</v>
      </c>
      <c r="F61" s="208">
        <v>31926.67853772852</v>
      </c>
      <c r="G61" s="189">
        <v>26742.608574309059</v>
      </c>
      <c r="H61" s="189">
        <v>36920.672226384988</v>
      </c>
      <c r="I61" s="189">
        <v>48223.15133630178</v>
      </c>
      <c r="J61" s="208">
        <v>64171.074044923662</v>
      </c>
      <c r="K61" s="189">
        <v>62879.542192566034</v>
      </c>
      <c r="L61" s="189">
        <v>70229.148925222631</v>
      </c>
      <c r="M61" s="189">
        <v>90407.119193128543</v>
      </c>
      <c r="N61" s="208">
        <v>100913.57902749437</v>
      </c>
      <c r="O61" s="189">
        <v>103223.18228357735</v>
      </c>
      <c r="P61" s="189">
        <v>113503.76035717336</v>
      </c>
      <c r="Q61" s="189">
        <v>133147.53784876168</v>
      </c>
      <c r="R61" s="208">
        <v>141333.72457568281</v>
      </c>
    </row>
    <row r="62" spans="2:18" ht="14.4" x14ac:dyDescent="0.3">
      <c r="B62" s="189" t="s">
        <v>165</v>
      </c>
      <c r="C62" s="213">
        <v>2.3623054803251827E-2</v>
      </c>
      <c r="D62" s="213">
        <v>3.9496180550113058E-2</v>
      </c>
      <c r="E62" s="213">
        <v>4.4641791647608304E-3</v>
      </c>
      <c r="F62" s="214">
        <v>1.2760386908384595E-2</v>
      </c>
      <c r="G62" s="213">
        <v>1.0659944347704625E-2</v>
      </c>
      <c r="H62" s="213">
        <v>1.4663100740956676E-2</v>
      </c>
      <c r="I62" s="213">
        <v>1.9060635557012377E-2</v>
      </c>
      <c r="J62" s="214">
        <v>2.531377641249807E-2</v>
      </c>
      <c r="K62" s="213">
        <v>2.4651436145117014E-2</v>
      </c>
      <c r="L62" s="213">
        <v>2.7344574260416452E-2</v>
      </c>
      <c r="M62" s="213">
        <v>3.4894035457401516E-2</v>
      </c>
      <c r="N62" s="214">
        <v>3.8874872266291424E-2</v>
      </c>
      <c r="O62" s="213">
        <v>3.937318449765137E-2</v>
      </c>
      <c r="P62" s="213">
        <v>4.2830994196131351E-2</v>
      </c>
      <c r="Q62" s="213">
        <v>4.9620357472116627E-2</v>
      </c>
      <c r="R62" s="214">
        <v>5.2580336896758617E-2</v>
      </c>
    </row>
    <row r="63" spans="2:18" x14ac:dyDescent="0.3">
      <c r="B63" s="189" t="s">
        <v>156</v>
      </c>
      <c r="C63" s="189">
        <v>460792</v>
      </c>
      <c r="D63" s="189">
        <v>465692</v>
      </c>
      <c r="E63" s="189">
        <v>465692</v>
      </c>
      <c r="F63" s="208">
        <v>465692</v>
      </c>
      <c r="G63" s="189">
        <v>465692</v>
      </c>
      <c r="H63" s="189">
        <v>465692</v>
      </c>
      <c r="I63" s="189">
        <v>465692</v>
      </c>
      <c r="J63" s="208">
        <v>465692</v>
      </c>
      <c r="K63" s="189">
        <v>465692</v>
      </c>
      <c r="L63" s="189">
        <v>465692</v>
      </c>
      <c r="M63" s="189">
        <v>465692</v>
      </c>
      <c r="N63" s="208">
        <v>465692</v>
      </c>
      <c r="O63" s="189">
        <v>465692</v>
      </c>
      <c r="P63" s="189">
        <v>465692</v>
      </c>
      <c r="Q63" s="189">
        <v>465692</v>
      </c>
      <c r="R63" s="208">
        <v>465692</v>
      </c>
    </row>
    <row r="64" spans="2:18" x14ac:dyDescent="0.3">
      <c r="F64" s="208"/>
      <c r="J64" s="208"/>
      <c r="N64" s="208"/>
      <c r="R64" s="208"/>
    </row>
    <row r="65" spans="2:18" x14ac:dyDescent="0.3">
      <c r="B65" s="189" t="s">
        <v>157</v>
      </c>
      <c r="C65" s="189">
        <v>0</v>
      </c>
      <c r="D65" s="189">
        <v>0</v>
      </c>
      <c r="E65" s="189">
        <v>0</v>
      </c>
      <c r="F65" s="208">
        <v>0</v>
      </c>
      <c r="G65" s="189">
        <v>0</v>
      </c>
      <c r="H65" s="189">
        <v>0</v>
      </c>
      <c r="I65" s="189">
        <v>0</v>
      </c>
      <c r="J65" s="208">
        <v>0</v>
      </c>
      <c r="K65" s="189">
        <v>0</v>
      </c>
      <c r="L65" s="189">
        <v>0</v>
      </c>
      <c r="M65" s="189">
        <v>0</v>
      </c>
      <c r="N65" s="208">
        <v>0</v>
      </c>
      <c r="O65" s="189">
        <v>0</v>
      </c>
      <c r="P65" s="189">
        <v>0</v>
      </c>
      <c r="Q65" s="189">
        <v>0</v>
      </c>
      <c r="R65" s="208">
        <v>0</v>
      </c>
    </row>
    <row r="66" spans="2:18" x14ac:dyDescent="0.3">
      <c r="B66" s="189" t="s">
        <v>159</v>
      </c>
      <c r="C66" s="189">
        <v>0</v>
      </c>
      <c r="D66" s="189">
        <v>0</v>
      </c>
      <c r="E66" s="189">
        <v>0</v>
      </c>
      <c r="F66" s="208">
        <v>50068.434615915743</v>
      </c>
      <c r="G66" s="189">
        <v>0</v>
      </c>
      <c r="H66" s="189">
        <v>0</v>
      </c>
      <c r="I66" s="189">
        <v>0</v>
      </c>
      <c r="J66" s="208">
        <v>44014.37654547987</v>
      </c>
      <c r="K66" s="189">
        <v>0</v>
      </c>
      <c r="L66" s="189">
        <v>0</v>
      </c>
      <c r="M66" s="189">
        <v>0</v>
      </c>
      <c r="N66" s="208">
        <v>81107.347334602891</v>
      </c>
      <c r="O66" s="189">
        <v>0</v>
      </c>
      <c r="P66" s="189">
        <v>0</v>
      </c>
      <c r="Q66" s="189">
        <v>0</v>
      </c>
      <c r="R66" s="208">
        <v>122802.0512662988</v>
      </c>
    </row>
    <row r="67" spans="2:18" ht="14.4" x14ac:dyDescent="0.3">
      <c r="F67" s="215">
        <v>0.25</v>
      </c>
      <c r="J67" s="215">
        <v>0.25</v>
      </c>
      <c r="N67" s="215">
        <v>0.25</v>
      </c>
      <c r="R67" s="215">
        <v>0.25</v>
      </c>
    </row>
    <row r="68" spans="2:18" x14ac:dyDescent="0.3">
      <c r="B68" s="192" t="s">
        <v>166</v>
      </c>
      <c r="F68" s="208"/>
      <c r="J68" s="208"/>
      <c r="N68" s="208"/>
      <c r="R68" s="208"/>
    </row>
    <row r="69" spans="2:18" ht="14.4" x14ac:dyDescent="0.3">
      <c r="B69" s="189" t="s">
        <v>167</v>
      </c>
      <c r="D69" s="213">
        <v>8.08154857240444E-2</v>
      </c>
      <c r="E69" s="213">
        <v>0.23505657014089909</v>
      </c>
      <c r="F69" s="214">
        <v>-4.5030852070728766E-2</v>
      </c>
      <c r="G69" s="213">
        <v>-1.4736131302269584E-2</v>
      </c>
      <c r="H69" s="213">
        <v>-1.6545780952011757E-2</v>
      </c>
      <c r="I69" s="213">
        <v>2.1536986867539909E-2</v>
      </c>
      <c r="J69" s="214">
        <v>3.5530824654594007E-2</v>
      </c>
      <c r="K69" s="213">
        <v>-1.3555765550368193E-2</v>
      </c>
      <c r="L69" s="213">
        <v>5.2912801265606824E-2</v>
      </c>
      <c r="M69" s="213">
        <v>1.8882215917083833E-2</v>
      </c>
      <c r="N69" s="214">
        <v>5.867430900235604E-2</v>
      </c>
      <c r="O69" s="213">
        <v>4.7319477367615548E-3</v>
      </c>
      <c r="P69" s="213">
        <v>6.7729216847047802E-2</v>
      </c>
      <c r="Q69" s="213">
        <v>3.131337860724237E-2</v>
      </c>
      <c r="R69" s="214">
        <v>6.4801071503789665E-2</v>
      </c>
    </row>
    <row r="70" spans="2:18" ht="14.4" x14ac:dyDescent="0.3">
      <c r="B70" s="189" t="s">
        <v>168</v>
      </c>
      <c r="D70" s="213">
        <v>3.0102708443685344E-2</v>
      </c>
      <c r="E70" s="213">
        <v>-1.1472201014823824E-2</v>
      </c>
      <c r="F70" s="214">
        <v>1.2895673431040144E-2</v>
      </c>
      <c r="G70" s="213">
        <v>-1.6182118695908798E-2</v>
      </c>
      <c r="H70" s="213">
        <v>1.6615442198933295E-2</v>
      </c>
      <c r="I70" s="213">
        <v>2.2372567491508732E-2</v>
      </c>
      <c r="J70" s="214">
        <v>3.7948846602013475E-2</v>
      </c>
      <c r="K70" s="213">
        <v>-1.9454957703610276E-2</v>
      </c>
      <c r="L70" s="213">
        <v>6.5061462988676766E-2</v>
      </c>
      <c r="M70" s="213">
        <v>2.4423816654997488E-2</v>
      </c>
      <c r="N70" s="214">
        <v>6.4825784542311027E-2</v>
      </c>
      <c r="O70" s="213">
        <v>2.931961473557898E-3</v>
      </c>
      <c r="P70" s="213">
        <v>7.6089654074735336E-2</v>
      </c>
      <c r="Q70" s="213">
        <v>4.5722099660357785E-2</v>
      </c>
      <c r="R70" s="214">
        <v>8.4603695506181076E-2</v>
      </c>
    </row>
    <row r="71" spans="2:18" x14ac:dyDescent="0.3">
      <c r="F71" s="208"/>
      <c r="J71" s="208"/>
      <c r="N71" s="208"/>
      <c r="R71" s="20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P&amp;L</vt:lpstr>
      <vt:lpstr>Volumes</vt:lpstr>
      <vt:lpstr>Capital Plan</vt:lpstr>
      <vt:lpstr>Liquidity and Funding Plan</vt:lpstr>
      <vt:lpstr>2014 Data</vt:lpstr>
      <vt:lpstr>KPI</vt:lpstr>
      <vt:lpstr>SHUSA</vt:lpstr>
      <vt:lpstr>SBNA</vt:lpstr>
      <vt:lpstr>Sheet1</vt:lpstr>
    </vt:vector>
  </TitlesOfParts>
  <Company>Sovereign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Isabel</dc:creator>
  <cp:lastModifiedBy>Wong, Wendy L</cp:lastModifiedBy>
  <dcterms:created xsi:type="dcterms:W3CDTF">2015-09-29T19:57:47Z</dcterms:created>
  <dcterms:modified xsi:type="dcterms:W3CDTF">2015-10-26T21:27:08Z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