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theme/themeOverride1.xml" ContentType="application/vnd.openxmlformats-officedocument.themeOverride+xml"/>
  <Override PartName="/xl/drawings/drawing2.xml" ContentType="application/vnd.openxmlformats-officedocument.drawing+xml"/>
  <Override PartName="/xl/charts/chart2.xml" ContentType="application/vnd.openxmlformats-officedocument.drawingml.chart+xml"/>
  <Override PartName="/xl/theme/themeOverride2.xml" ContentType="application/vnd.openxmlformats-officedocument.themeOverride+xml"/>
  <Override PartName="/xl/drawings/drawing3.xml" ContentType="application/vnd.openxmlformats-officedocument.drawing+xml"/>
  <Override PartName="/xl/charts/chart3.xml" ContentType="application/vnd.openxmlformats-officedocument.drawingml.chart+xml"/>
  <Override PartName="/xl/drawings/drawing4.xml" ContentType="application/vnd.openxmlformats-officedocument.drawing+xml"/>
  <Override PartName="/xl/charts/chart4.xml" ContentType="application/vnd.openxmlformats-officedocument.drawingml.chart+xml"/>
  <Override PartName="/xl/drawings/drawing5.xml" ContentType="application/vnd.openxmlformats-officedocument.drawing+xml"/>
  <Override PartName="/xl/charts/chart5.xml" ContentType="application/vnd.openxmlformats-officedocument.drawingml.chart+xml"/>
  <Override PartName="/xl/drawings/drawing6.xml" ContentType="application/vnd.openxmlformats-officedocument.drawing+xml"/>
  <Override PartName="/xl/drawings/drawing7.xml" ContentType="application/vnd.openxmlformats-officedocument.drawing+xml"/>
  <Override PartName="/xl/charts/chart6.xml" ContentType="application/vnd.openxmlformats-officedocument.drawingml.chart+xml"/>
  <Override PartName="/xl/drawings/drawing8.xml" ContentType="application/vnd.openxmlformats-officedocument.drawing+xml"/>
  <Override PartName="/xl/charts/chart7.xml" ContentType="application/vnd.openxmlformats-officedocument.drawingml.chart+xml"/>
  <Override PartName="/xl/drawings/drawing9.xml" ContentType="application/vnd.openxmlformats-officedocument.drawing+xml"/>
  <Override PartName="/xl/charts/chart8.xml" ContentType="application/vnd.openxmlformats-officedocument.drawingml.chart+xml"/>
  <Override PartName="/xl/drawings/drawing10.xml" ContentType="application/vnd.openxmlformats-officedocument.drawing+xml"/>
  <Override PartName="/xl/charts/chart9.xml" ContentType="application/vnd.openxmlformats-officedocument.drawingml.chart+xml"/>
  <Override PartName="/xl/drawings/drawing1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charts/chart10.xml" ContentType="application/vnd.openxmlformats-officedocument.drawingml.chart+xml"/>
  <Override PartName="/xl/charts/chart11.xml" ContentType="application/vnd.openxmlformats-officedocument.drawingml.chart+xml"/>
  <Override PartName="/xl/drawings/drawing12.xml" ContentType="application/vnd.openxmlformats-officedocument.drawing+xml"/>
  <Override PartName="/xl/charts/chart12.xml" ContentType="application/vnd.openxmlformats-officedocument.drawingml.chart+xml"/>
  <Override PartName="/xl/drawings/drawing13.xml" ContentType="application/vnd.openxmlformats-officedocument.drawing+xml"/>
  <Override PartName="/xl/charts/chart13.xml" ContentType="application/vnd.openxmlformats-officedocument.drawingml.chart+xml"/>
  <Override PartName="/xl/drawings/drawing14.xml" ContentType="application/vnd.openxmlformats-officedocument.drawing+xml"/>
  <Override PartName="/xl/charts/chart14.xml" ContentType="application/vnd.openxmlformats-officedocument.drawingml.chart+xml"/>
  <Override PartName="/xl/drawings/drawing15.xml" ContentType="application/vnd.openxmlformats-officedocument.drawing+xml"/>
  <Override PartName="/xl/charts/chart15.xml" ContentType="application/vnd.openxmlformats-officedocument.drawingml.chart+xml"/>
  <Override PartName="/xl/drawings/drawing16.xml" ContentType="application/vnd.openxmlformats-officedocument.drawing+xml"/>
  <Override PartName="/xl/charts/chart16.xml" ContentType="application/vnd.openxmlformats-officedocument.drawingml.chart+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charts/style1.xml" ContentType="application/vnd.ms-office.chartstyle+xml"/>
  <Override PartName="/xl/charts/colors1.xml" ContentType="application/vnd.ms-office.chartcolorstyle+xml"/>
  <Override PartName="/xl/charts/style2.xml" ContentType="application/vnd.ms-office.chartstyle+xml"/>
  <Override PartName="/xl/charts/colors2.xml" ContentType="application/vnd.ms-office.chartcolorstyle+xml"/>
  <Override PartName="/xl/charts/colors3.xml" ContentType="application/vnd.ms-office.chartcolorstyle+xml"/>
  <Override PartName="/xl/charts/style3.xml" ContentType="application/vnd.ms-office.chartstyle+xml"/>
  <Override PartName="/xl/charts/colors4.xml" ContentType="application/vnd.ms-office.chartcolorstyle+xml"/>
  <Override PartName="/xl/charts/style4.xml" ContentType="application/vnd.ms-office.chartstyle+xml"/>
  <Override PartName="/xl/charts/colors5.xml" ContentType="application/vnd.ms-office.chartcolorstyle+xml"/>
  <Override PartName="/xl/charts/style5.xml" ContentType="application/vnd.ms-office.chartstyle+xml"/>
  <Override PartName="/xl/charts/colors6.xml" ContentType="application/vnd.ms-office.chartcolorstyle+xml"/>
  <Override PartName="/xl/charts/style6.xml" ContentType="application/vnd.ms-office.chartstyle+xml"/>
  <Override PartName="/xl/charts/colors7.xml" ContentType="application/vnd.ms-office.chartcolorstyle+xml"/>
  <Override PartName="/xl/charts/style7.xml" ContentType="application/vnd.ms-office.chartstyle+xml"/>
  <Override PartName="/xl/charts/colors8.xml" ContentType="application/vnd.ms-office.chartcolorstyle+xml"/>
  <Override PartName="/xl/charts/style8.xml" ContentType="application/vnd.ms-office.chartstyle+xml"/>
  <Override PartName="/xl/charts/colors9.xml" ContentType="application/vnd.ms-office.chartcolorstyle+xml"/>
  <Override PartName="/xl/charts/style9.xml" ContentType="application/vnd.ms-office.chartstyle+xml"/>
  <Override PartName="/xl/charts/colors10.xml" ContentType="application/vnd.ms-office.chartcolorstyle+xml"/>
  <Override PartName="/xl/charts/style10.xml" ContentType="application/vnd.ms-office.chartstyle+xml"/>
  <Override PartName="/xl/charts/colors11.xml" ContentType="application/vnd.ms-office.chartcolorstyle+xml"/>
  <Override PartName="/xl/charts/style11.xml" ContentType="application/vnd.ms-office.chartstyle+xml"/>
  <Override PartName="/xl/charts/colors12.xml" ContentType="application/vnd.ms-office.chartcolorstyle+xml"/>
  <Override PartName="/xl/charts/style12.xml" ContentType="application/vnd.ms-office.chartstyle+xml"/>
  <Override PartName="/xl/charts/colors13.xml" ContentType="application/vnd.ms-office.chartcolorstyle+xml"/>
  <Override PartName="/xl/charts/style13.xml" ContentType="application/vnd.ms-office.chartstyle+xml"/>
  <Override PartName="/xl/charts/colors14.xml" ContentType="application/vnd.ms-office.chartcolorstyle+xml"/>
  <Override PartName="/xl/charts/style14.xml" ContentType="application/vnd.ms-office.chartsty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9570" windowHeight="6825" tabRatio="936"/>
  </bookViews>
  <sheets>
    <sheet name="Current metric" sheetId="1" r:id="rId1"/>
    <sheet name="New metric" sheetId="2" r:id="rId2"/>
    <sheet name="CCAR 9Q capital ratios" sheetId="32" r:id="rId3"/>
    <sheet name="Capital adequacy" sheetId="33" r:id="rId4"/>
    <sheet name="TCR" sheetId="26" r:id="rId5"/>
    <sheet name="TCE" sheetId="14" r:id="rId6"/>
    <sheet name="CCAR TCE Ratios" sheetId="29" r:id="rId7"/>
    <sheet name="Residual" sheetId="15" r:id="rId8"/>
    <sheet name="SFR" sheetId="16" r:id="rId9"/>
    <sheet name="ACL" sheetId="17" r:id="rId10"/>
    <sheet name="ACL new" sheetId="30" r:id="rId11"/>
    <sheet name="NII" sheetId="18" r:id="rId12"/>
    <sheet name="MVE" sheetId="19" r:id="rId13"/>
    <sheet name="RWA" sheetId="20" r:id="rId14"/>
    <sheet name="Subprime Assets" sheetId="21" r:id="rId15"/>
    <sheet name="Subprime monthly reports" sheetId="31" r:id="rId16"/>
    <sheet name="Ops Loss to Margin" sheetId="22" r:id="rId17"/>
    <sheet name="Frequency of Events" sheetId="23" r:id="rId18"/>
    <sheet name="SFO - NCO" sheetId="24" r:id="rId19"/>
    <sheet name="Fraud of Total Loan Origination" sheetId="25" r:id="rId20"/>
    <sheet name="OR R1" sheetId="27" r:id="rId21"/>
    <sheet name="Ops Monitoring Metrics" sheetId="28" r:id="rId22"/>
  </sheets>
  <externalReferences>
    <externalReference r:id="rId23"/>
    <externalReference r:id="rId24"/>
    <externalReference r:id="rId25"/>
  </externalReferences>
  <definedNames>
    <definedName name="_AMO_SingleObject_281514539_ROM_F0.SEC2.Tabulate_9.SEC1.BDY.Cross_tabular_summary_report_Table_1" hidden="1">'[1]2015'!#REF!</definedName>
    <definedName name="_AMO_SingleObject_990742615_ROM_F0.SEC2.Tabulate_1.SEC1.BDY.Cross_tabular_summary_report_Table_1" hidden="1">#REF!</definedName>
    <definedName name="_AMO_SingleObject_990742615_ROM_F0.SEC2.Tabulate_2.SEC1.BDY.Cross_tabular_summary_report_Table_1" hidden="1">#REF!</definedName>
    <definedName name="_AMO_SingleObject_990742615_ROM_F0.SEC2.Tabulate_3.SEC1.BDY.Cross_tabular_summary_report_Table_1" hidden="1">#REF!</definedName>
    <definedName name="_AMO_SingleObject_990742615_ROM_F0.SEC2.Tabulate_4.SEC1.BDY.Cross_tabular_summary_report_Table_1" hidden="1">#REF!</definedName>
    <definedName name="_AMO_SingleObject_990742615_ROM_F0.SEC2.Tabulate_5.SEC1.BDY.Cross_tabular_summary_report_Table_1" hidden="1">#REF!</definedName>
    <definedName name="_AMO_SingleObject_990742615_ROM_F0.SEC2.Tabulate_6.SEC1.BDY.Cross_tabular_summary_report_Table_1" hidden="1">#REF!</definedName>
    <definedName name="_AMO_SingleObject_990742615_ROM_F0.SEC2.Tabulate_7.SEC1.BDY.Cross_tabular_summary_report_Table_1" hidden="1">#REF!</definedName>
    <definedName name="_AMO_SingleObject_990742615_ROM_F0.SEC2.Tabulate_8.SEC1.BDY.Cross_tabular_summary_report_Table_1" hidden="1">#REF!</definedName>
    <definedName name="_AMO_SingleObject_990742615_ROM_F0.SEC2.Tabulate_9.SEC1.BDY.Cross_tabular_summary_report_Table_1" hidden="1">#REF!</definedName>
    <definedName name="_xlnm._FilterDatabase" localSheetId="0" hidden="1">'Current metric'!$A$1:$P$18</definedName>
    <definedName name="_xlnm._FilterDatabase" localSheetId="1" hidden="1">'New metric'!$A$1:$P$16</definedName>
    <definedName name="_vena_CapSCUSAunadjusted_B1_C_1_230858509795983360">'CCAR 9Q capital ratios'!$F$5</definedName>
    <definedName name="_vena_CapSCUSAunadjusted_B1_C_1_230858525113581568">'CCAR 9Q capital ratios'!$G$5</definedName>
    <definedName name="_vena_CapSCUSAunadjusted_B1_C_1_230858539172888576">'CCAR 9Q capital ratios'!$H$5</definedName>
    <definedName name="_vena_CapSCUSAunadjusted_B1_C_1_230858563583737856">'CCAR 9Q capital ratios'!$I$5</definedName>
    <definedName name="_vena_CapSCUSAunadjusted_B1_C_1_230858841607110656">'CCAR 9Q capital ratios'!$K$5</definedName>
    <definedName name="_vena_CapSCUSAunadjusted_B1_C_1_230858841607110656_1">'CCAR 9Q capital ratios'!$U$5</definedName>
    <definedName name="_vena_CapSCUSAunadjusted_B1_C_1_230858841607110656_2">'CCAR 9Q capital ratios'!$AE$5</definedName>
    <definedName name="_vena_CapSCUSAunadjusted_B1_C_1_230858841607110656_3">'CCAR 9Q capital ratios'!$AO$5</definedName>
    <definedName name="_vena_CapSCUSAunadjusted_B1_C_1_230858841607110656_4">'CCAR 9Q capital ratios'!$AY$5</definedName>
    <definedName name="_vena_CapSCUSAunadjusted_B1_C_1_230858864537370624">'CCAR 9Q capital ratios'!$L$5</definedName>
    <definedName name="_vena_CapSCUSAunadjusted_B1_C_1_230858864537370624_1">'CCAR 9Q capital ratios'!$V$5</definedName>
    <definedName name="_vena_CapSCUSAunadjusted_B1_C_1_230858864537370624_2">'CCAR 9Q capital ratios'!$AF$5</definedName>
    <definedName name="_vena_CapSCUSAunadjusted_B1_C_1_230858864537370624_3">'CCAR 9Q capital ratios'!$AP$5</definedName>
    <definedName name="_vena_CapSCUSAunadjusted_B1_C_1_230858864537370624_4">'CCAR 9Q capital ratios'!$AZ$5</definedName>
    <definedName name="_vena_CapSCUSAunadjusted_B1_C_1_230858883713728512">'CCAR 9Q capital ratios'!$M$5</definedName>
    <definedName name="_vena_CapSCUSAunadjusted_B1_C_1_230858883713728512_1">'CCAR 9Q capital ratios'!$W$5</definedName>
    <definedName name="_vena_CapSCUSAunadjusted_B1_C_1_230858883713728512_2">'CCAR 9Q capital ratios'!$AG$5</definedName>
    <definedName name="_vena_CapSCUSAunadjusted_B1_C_1_230858883713728512_3">'CCAR 9Q capital ratios'!$AQ$5</definedName>
    <definedName name="_vena_CapSCUSAunadjusted_B1_C_1_230858883713728512_4">'CCAR 9Q capital ratios'!$BA$5</definedName>
    <definedName name="_vena_CapSCUSAunadjusted_B1_C_1_230858941431545856">'CCAR 9Q capital ratios'!$N$5</definedName>
    <definedName name="_vena_CapSCUSAunadjusted_B1_C_1_230858941431545856_1">'CCAR 9Q capital ratios'!$X$5</definedName>
    <definedName name="_vena_CapSCUSAunadjusted_B1_C_1_230858941431545856_2">'CCAR 9Q capital ratios'!$AH$5</definedName>
    <definedName name="_vena_CapSCUSAunadjusted_B1_C_1_230858941431545856_3">'CCAR 9Q capital ratios'!$AR$5</definedName>
    <definedName name="_vena_CapSCUSAunadjusted_B1_C_1_230858941431545856_4">'CCAR 9Q capital ratios'!$BB$5</definedName>
    <definedName name="_vena_CapSCUSAunadjusted_B1_C_1_230859049971744768">'CCAR 9Q capital ratios'!$O$5</definedName>
    <definedName name="_vena_CapSCUSAunadjusted_B1_C_1_230859049971744768_1">'CCAR 9Q capital ratios'!$Y$5</definedName>
    <definedName name="_vena_CapSCUSAunadjusted_B1_C_1_230859049971744768_2">'CCAR 9Q capital ratios'!$AI$5</definedName>
    <definedName name="_vena_CapSCUSAunadjusted_B1_C_1_230859049971744768_3">'CCAR 9Q capital ratios'!$AS$5</definedName>
    <definedName name="_vena_CapSCUSAunadjusted_B1_C_1_230859049971744768_4">'CCAR 9Q capital ratios'!$BC$5</definedName>
    <definedName name="_vena_CapSCUSAunadjusted_B1_C_1_230859064827969536">'CCAR 9Q capital ratios'!$P$5</definedName>
    <definedName name="_vena_CapSCUSAunadjusted_B1_C_1_230859064827969536_1">'CCAR 9Q capital ratios'!$Z$5</definedName>
    <definedName name="_vena_CapSCUSAunadjusted_B1_C_1_230859064827969536_2">'CCAR 9Q capital ratios'!$AJ$5</definedName>
    <definedName name="_vena_CapSCUSAunadjusted_B1_C_1_230859064827969536_3">'CCAR 9Q capital ratios'!$AT$5</definedName>
    <definedName name="_vena_CapSCUSAunadjusted_B1_C_1_230859064827969536_4">'CCAR 9Q capital ratios'!$BD$5</definedName>
    <definedName name="_vena_CapSCUSAunadjusted_B1_C_1_230859078451068928">'CCAR 9Q capital ratios'!$Q$5</definedName>
    <definedName name="_vena_CapSCUSAunadjusted_B1_C_1_230859078451068928_1">'CCAR 9Q capital ratios'!$AA$5</definedName>
    <definedName name="_vena_CapSCUSAunadjusted_B1_C_1_230859078451068928_2">'CCAR 9Q capital ratios'!$AK$5</definedName>
    <definedName name="_vena_CapSCUSAunadjusted_B1_C_1_230859078451068928_3">'CCAR 9Q capital ratios'!$AU$5</definedName>
    <definedName name="_vena_CapSCUSAunadjusted_B1_C_1_230859078451068928_4">'CCAR 9Q capital ratios'!$BE$5</definedName>
    <definedName name="_vena_CapSCUSAunadjusted_B1_C_1_230859093835776000">'CCAR 9Q capital ratios'!$R$5</definedName>
    <definedName name="_vena_CapSCUSAunadjusted_B1_C_1_230859093835776000_1">'CCAR 9Q capital ratios'!$AB$5</definedName>
    <definedName name="_vena_CapSCUSAunadjusted_B1_C_1_230859093835776000_2">'CCAR 9Q capital ratios'!$AL$5</definedName>
    <definedName name="_vena_CapSCUSAunadjusted_B1_C_1_230859093835776000_3">'CCAR 9Q capital ratios'!$AV$5</definedName>
    <definedName name="_vena_CapSCUSAunadjusted_B1_C_1_230859093835776000_4">'CCAR 9Q capital ratios'!$BF$5</definedName>
    <definedName name="_vena_CapSCUSAunadjusted_B1_C_1_248550486083371008">'CCAR 9Q capital ratios'!$S$5</definedName>
    <definedName name="_vena_CapSCUSAunadjusted_B1_C_1_248550486083371008_1">'CCAR 9Q capital ratios'!$AC$5</definedName>
    <definedName name="_vena_CapSCUSAunadjusted_B1_C_1_248550486083371008_2">'CCAR 9Q capital ratios'!$AM$5</definedName>
    <definedName name="_vena_CapSCUSAunadjusted_B1_C_1_248550486083371008_3">'CCAR 9Q capital ratios'!$AW$5</definedName>
    <definedName name="_vena_CapSCUSAunadjusted_B1_C_1_248550486083371008_4">'CCAR 9Q capital ratios'!$BG$5</definedName>
    <definedName name="_vena_CapSCUSAunadjusted_B1_C_2_230860126356111360">'CCAR 9Q capital ratios'!$I$6</definedName>
    <definedName name="_vena_CapSCUSAunadjusted_B1_C_2_230860226616754176">'CCAR 9Q capital ratios'!$K$6</definedName>
    <definedName name="_vena_CapSCUSAunadjusted_B1_C_2_230860226616754176_1">'CCAR 9Q capital ratios'!$U$6</definedName>
    <definedName name="_vena_CapSCUSAunadjusted_B1_C_2_230860226616754176_2">'CCAR 9Q capital ratios'!$AE$6</definedName>
    <definedName name="_vena_CapSCUSAunadjusted_B1_C_2_230860226616754176_3">'CCAR 9Q capital ratios'!$AO$6</definedName>
    <definedName name="_vena_CapSCUSAunadjusted_B1_C_2_230860226616754176_4">'CCAR 9Q capital ratios'!$AY$6</definedName>
    <definedName name="_vena_CapSCUSAunadjusted_B1_C_2_230860237857488896">'CCAR 9Q capital ratios'!$L$6</definedName>
    <definedName name="_vena_CapSCUSAunadjusted_B1_C_2_230860237857488896_1">'CCAR 9Q capital ratios'!$V$6</definedName>
    <definedName name="_vena_CapSCUSAunadjusted_B1_C_2_230860237857488896_2">'CCAR 9Q capital ratios'!$AF$6</definedName>
    <definedName name="_vena_CapSCUSAunadjusted_B1_C_2_230860237857488896_3">'CCAR 9Q capital ratios'!$AP$6</definedName>
    <definedName name="_vena_CapSCUSAunadjusted_B1_C_2_230860237857488896_4">'CCAR 9Q capital ratios'!$AZ$6</definedName>
    <definedName name="_vena_CapSCUSAunadjusted_B1_C_2_230860246497755136">'CCAR 9Q capital ratios'!$M$6</definedName>
    <definedName name="_vena_CapSCUSAunadjusted_B1_C_2_230860246497755136_1">'CCAR 9Q capital ratios'!$W$6</definedName>
    <definedName name="_vena_CapSCUSAunadjusted_B1_C_2_230860246497755136_2">'CCAR 9Q capital ratios'!$AG$6</definedName>
    <definedName name="_vena_CapSCUSAunadjusted_B1_C_2_230860246497755136_3">'CCAR 9Q capital ratios'!$AQ$6</definedName>
    <definedName name="_vena_CapSCUSAunadjusted_B1_C_2_230860246497755136_4">'CCAR 9Q capital ratios'!$BA$6</definedName>
    <definedName name="_vena_CapSCUSAunadjusted_B1_C_2_230860256148848640">'CCAR 9Q capital ratios'!$N$6</definedName>
    <definedName name="_vena_CapSCUSAunadjusted_B1_C_2_230860256148848640_1">'CCAR 9Q capital ratios'!$X$6</definedName>
    <definedName name="_vena_CapSCUSAunadjusted_B1_C_2_230860256148848640_2">'CCAR 9Q capital ratios'!$AH$6</definedName>
    <definedName name="_vena_CapSCUSAunadjusted_B1_C_2_230860256148848640_3">'CCAR 9Q capital ratios'!$AR$6</definedName>
    <definedName name="_vena_CapSCUSAunadjusted_B1_C_2_230860256148848640_4">'CCAR 9Q capital ratios'!$BB$6</definedName>
    <definedName name="_vena_CapSCUSAunadjusted_B1_C_2_230860293570428928">'CCAR 9Q capital ratios'!$O$6</definedName>
    <definedName name="_vena_CapSCUSAunadjusted_B1_C_2_230860293570428928_1">'CCAR 9Q capital ratios'!$Y$6</definedName>
    <definedName name="_vena_CapSCUSAunadjusted_B1_C_2_230860293570428928_2">'CCAR 9Q capital ratios'!$AI$6</definedName>
    <definedName name="_vena_CapSCUSAunadjusted_B1_C_2_230860293570428928_3">'CCAR 9Q capital ratios'!$AS$6</definedName>
    <definedName name="_vena_CapSCUSAunadjusted_B1_C_2_230860293570428928_4">'CCAR 9Q capital ratios'!$BC$6</definedName>
    <definedName name="_vena_CapSCUSAunadjusted_B1_C_2_230860306308530176">'CCAR 9Q capital ratios'!$P$6</definedName>
    <definedName name="_vena_CapSCUSAunadjusted_B1_C_2_230860306308530176_1">'CCAR 9Q capital ratios'!$Z$6</definedName>
    <definedName name="_vena_CapSCUSAunadjusted_B1_C_2_230860306308530176_2">'CCAR 9Q capital ratios'!$AJ$6</definedName>
    <definedName name="_vena_CapSCUSAunadjusted_B1_C_2_230860306308530176_3">'CCAR 9Q capital ratios'!$AT$6</definedName>
    <definedName name="_vena_CapSCUSAunadjusted_B1_C_2_230860306308530176_4">'CCAR 9Q capital ratios'!$BD$6</definedName>
    <definedName name="_vena_CapSCUSAunadjusted_B1_C_2_230860320749518848">'CCAR 9Q capital ratios'!$Q$6</definedName>
    <definedName name="_vena_CapSCUSAunadjusted_B1_C_2_230860320749518848_1">'CCAR 9Q capital ratios'!$AA$6</definedName>
    <definedName name="_vena_CapSCUSAunadjusted_B1_C_2_230860320749518848_2">'CCAR 9Q capital ratios'!$AK$6</definedName>
    <definedName name="_vena_CapSCUSAunadjusted_B1_C_2_230860320749518848_3">'CCAR 9Q capital ratios'!$AU$6</definedName>
    <definedName name="_vena_CapSCUSAunadjusted_B1_C_2_230860320749518848_4">'CCAR 9Q capital ratios'!$BE$6</definedName>
    <definedName name="_vena_CapSCUSAunadjusted_B1_C_2_230860332363546624">'CCAR 9Q capital ratios'!$R$6</definedName>
    <definedName name="_vena_CapSCUSAunadjusted_B1_C_2_230860332363546624_1">'CCAR 9Q capital ratios'!$AB$6</definedName>
    <definedName name="_vena_CapSCUSAunadjusted_B1_C_2_230860332363546624_2">'CCAR 9Q capital ratios'!$AL$6</definedName>
    <definedName name="_vena_CapSCUSAunadjusted_B1_C_2_230860332363546624_3">'CCAR 9Q capital ratios'!$AV$6</definedName>
    <definedName name="_vena_CapSCUSAunadjusted_B1_C_2_230860332363546624_4">'CCAR 9Q capital ratios'!$BF$6</definedName>
    <definedName name="_vena_CapSCUSAunadjusted_B1_C_2_230860342882861056">'CCAR 9Q capital ratios'!$S$6</definedName>
    <definedName name="_vena_CapSCUSAunadjusted_B1_C_2_230860342882861056_1">'CCAR 9Q capital ratios'!$AC$6</definedName>
    <definedName name="_vena_CapSCUSAunadjusted_B1_C_2_230860342882861056_2">'CCAR 9Q capital ratios'!$AM$6</definedName>
    <definedName name="_vena_CapSCUSAunadjusted_B1_C_2_230860342882861056_3">'CCAR 9Q capital ratios'!$AW$6</definedName>
    <definedName name="_vena_CapSCUSAunadjusted_B1_C_2_230860342882861056_4">'CCAR 9Q capital ratios'!$BG$6</definedName>
    <definedName name="_vena_CapSCUSAunadjusted_B1_C_2_248614950019268608">'CCAR 9Q capital ratios'!$F$6</definedName>
    <definedName name="_vena_CapSCUSAunadjusted_B1_C_2_248614950019268608_1">'CCAR 9Q capital ratios'!$G$6</definedName>
    <definedName name="_vena_CapSCUSAunadjusted_B1_C_2_248614950019268608_2">'CCAR 9Q capital ratios'!$H$6</definedName>
    <definedName name="_vena_CapSCUSAunadjusted_B1_C_3_230860830692999168">'CCAR 9Q capital ratios'!$K$3</definedName>
    <definedName name="_vena_CapSCUSAunadjusted_B1_C_3_230860830692999168_1">'CCAR 9Q capital ratios'!$L$3</definedName>
    <definedName name="_vena_CapSCUSAunadjusted_B1_C_3_230860830692999168_10">'CCAR 9Q capital ratios'!$V$3</definedName>
    <definedName name="_vena_CapSCUSAunadjusted_B1_C_3_230860830692999168_11">'CCAR 9Q capital ratios'!$W$3</definedName>
    <definedName name="_vena_CapSCUSAunadjusted_B1_C_3_230860830692999168_12">'CCAR 9Q capital ratios'!$X$3</definedName>
    <definedName name="_vena_CapSCUSAunadjusted_B1_C_3_230860830692999168_13">'CCAR 9Q capital ratios'!$Y$3</definedName>
    <definedName name="_vena_CapSCUSAunadjusted_B1_C_3_230860830692999168_14">'CCAR 9Q capital ratios'!$Z$3</definedName>
    <definedName name="_vena_CapSCUSAunadjusted_B1_C_3_230860830692999168_15">'CCAR 9Q capital ratios'!$AA$3</definedName>
    <definedName name="_vena_CapSCUSAunadjusted_B1_C_3_230860830692999168_16">'CCAR 9Q capital ratios'!$AB$3</definedName>
    <definedName name="_vena_CapSCUSAunadjusted_B1_C_3_230860830692999168_17">'CCAR 9Q capital ratios'!$AC$3</definedName>
    <definedName name="_vena_CapSCUSAunadjusted_B1_C_3_230860830692999168_18">'CCAR 9Q capital ratios'!$AE$3</definedName>
    <definedName name="_vena_CapSCUSAunadjusted_B1_C_3_230860830692999168_19">'CCAR 9Q capital ratios'!$AF$3</definedName>
    <definedName name="_vena_CapSCUSAunadjusted_B1_C_3_230860830692999168_2">'CCAR 9Q capital ratios'!$M$3</definedName>
    <definedName name="_vena_CapSCUSAunadjusted_B1_C_3_230860830692999168_20">'CCAR 9Q capital ratios'!$AG$3</definedName>
    <definedName name="_vena_CapSCUSAunadjusted_B1_C_3_230860830692999168_21">'CCAR 9Q capital ratios'!$AH$3</definedName>
    <definedName name="_vena_CapSCUSAunadjusted_B1_C_3_230860830692999168_22">'CCAR 9Q capital ratios'!$AI$3</definedName>
    <definedName name="_vena_CapSCUSAunadjusted_B1_C_3_230860830692999168_23">'CCAR 9Q capital ratios'!$AJ$3</definedName>
    <definedName name="_vena_CapSCUSAunadjusted_B1_C_3_230860830692999168_24">'CCAR 9Q capital ratios'!$AK$3</definedName>
    <definedName name="_vena_CapSCUSAunadjusted_B1_C_3_230860830692999168_25">'CCAR 9Q capital ratios'!$AL$3</definedName>
    <definedName name="_vena_CapSCUSAunadjusted_B1_C_3_230860830692999168_26">'CCAR 9Q capital ratios'!$AM$3</definedName>
    <definedName name="_vena_CapSCUSAunadjusted_B1_C_3_230860830692999168_27">'CCAR 9Q capital ratios'!$AO$3</definedName>
    <definedName name="_vena_CapSCUSAunadjusted_B1_C_3_230860830692999168_28">'CCAR 9Q capital ratios'!$AP$3</definedName>
    <definedName name="_vena_CapSCUSAunadjusted_B1_C_3_230860830692999168_29">'CCAR 9Q capital ratios'!$AQ$3</definedName>
    <definedName name="_vena_CapSCUSAunadjusted_B1_C_3_230860830692999168_3">'CCAR 9Q capital ratios'!$N$3</definedName>
    <definedName name="_vena_CapSCUSAunadjusted_B1_C_3_230860830692999168_30">'CCAR 9Q capital ratios'!$AR$3</definedName>
    <definedName name="_vena_CapSCUSAunadjusted_B1_C_3_230860830692999168_31">'CCAR 9Q capital ratios'!$AS$3</definedName>
    <definedName name="_vena_CapSCUSAunadjusted_B1_C_3_230860830692999168_32">'CCAR 9Q capital ratios'!$AT$3</definedName>
    <definedName name="_vena_CapSCUSAunadjusted_B1_C_3_230860830692999168_33">'CCAR 9Q capital ratios'!$AU$3</definedName>
    <definedName name="_vena_CapSCUSAunadjusted_B1_C_3_230860830692999168_34">'CCAR 9Q capital ratios'!$AV$3</definedName>
    <definedName name="_vena_CapSCUSAunadjusted_B1_C_3_230860830692999168_35">'CCAR 9Q capital ratios'!$AW$3</definedName>
    <definedName name="_vena_CapSCUSAunadjusted_B1_C_3_230860830692999168_36">'CCAR 9Q capital ratios'!$AY$3</definedName>
    <definedName name="_vena_CapSCUSAunadjusted_B1_C_3_230860830692999168_37">'CCAR 9Q capital ratios'!$AZ$3</definedName>
    <definedName name="_vena_CapSCUSAunadjusted_B1_C_3_230860830692999168_38">'CCAR 9Q capital ratios'!$BA$3</definedName>
    <definedName name="_vena_CapSCUSAunadjusted_B1_C_3_230860830692999168_39">'CCAR 9Q capital ratios'!$BB$3</definedName>
    <definedName name="_vena_CapSCUSAunadjusted_B1_C_3_230860830692999168_4">'CCAR 9Q capital ratios'!$O$3</definedName>
    <definedName name="_vena_CapSCUSAunadjusted_B1_C_3_230860830692999168_40">'CCAR 9Q capital ratios'!$BC$3</definedName>
    <definedName name="_vena_CapSCUSAunadjusted_B1_C_3_230860830692999168_41">'CCAR 9Q capital ratios'!$BD$3</definedName>
    <definedName name="_vena_CapSCUSAunadjusted_B1_C_3_230860830692999168_42">'CCAR 9Q capital ratios'!$BE$3</definedName>
    <definedName name="_vena_CapSCUSAunadjusted_B1_C_3_230860830692999168_43">'CCAR 9Q capital ratios'!$BF$3</definedName>
    <definedName name="_vena_CapSCUSAunadjusted_B1_C_3_230860830692999168_44">'CCAR 9Q capital ratios'!$BG$3</definedName>
    <definedName name="_vena_CapSCUSAunadjusted_B1_C_3_230860830692999168_45">'CCAR 9Q capital ratios'!$I$3</definedName>
    <definedName name="_vena_CapSCUSAunadjusted_B1_C_3_230860830692999168_5">'CCAR 9Q capital ratios'!$P$3</definedName>
    <definedName name="_vena_CapSCUSAunadjusted_B1_C_3_230860830692999168_6">'CCAR 9Q capital ratios'!$Q$3</definedName>
    <definedName name="_vena_CapSCUSAunadjusted_B1_C_3_230860830692999168_7">'CCAR 9Q capital ratios'!$R$3</definedName>
    <definedName name="_vena_CapSCUSAunadjusted_B1_C_3_230860830692999168_8">'CCAR 9Q capital ratios'!$S$3</definedName>
    <definedName name="_vena_CapSCUSAunadjusted_B1_C_3_230860830692999168_9">'CCAR 9Q capital ratios'!$U$3</definedName>
    <definedName name="_vena_CapSCUSAunadjusted_B1_C_3_230860959693012992">'CCAR 9Q capital ratios'!$F$3</definedName>
    <definedName name="_vena_CapSCUSAunadjusted_B1_C_3_230860959693012992_1">'CCAR 9Q capital ratios'!$G$3</definedName>
    <definedName name="_vena_CapSCUSAunadjusted_B1_C_3_230860959693012992_2">'CCAR 9Q capital ratios'!$H$3</definedName>
    <definedName name="_vena_CapSCUSAunadjusted_B1_C_4_230862887281885184">'CCAR 9Q capital ratios'!$K$4</definedName>
    <definedName name="_vena_CapSCUSAunadjusted_B1_C_4_230862887281885184_1">'CCAR 9Q capital ratios'!$L$4</definedName>
    <definedName name="_vena_CapSCUSAunadjusted_B1_C_4_230862887281885184_2">'CCAR 9Q capital ratios'!$M$4</definedName>
    <definedName name="_vena_CapSCUSAunadjusted_B1_C_4_230862887281885184_3">'CCAR 9Q capital ratios'!$N$4</definedName>
    <definedName name="_vena_CapSCUSAunadjusted_B1_C_4_230862887281885184_4">'CCAR 9Q capital ratios'!$O$4</definedName>
    <definedName name="_vena_CapSCUSAunadjusted_B1_C_4_230862887281885184_5">'CCAR 9Q capital ratios'!$P$4</definedName>
    <definedName name="_vena_CapSCUSAunadjusted_B1_C_4_230862887281885184_6">'CCAR 9Q capital ratios'!$Q$4</definedName>
    <definedName name="_vena_CapSCUSAunadjusted_B1_C_4_230862887281885184_7">'CCAR 9Q capital ratios'!$R$4</definedName>
    <definedName name="_vena_CapSCUSAunadjusted_B1_C_4_230862887281885184_8">'CCAR 9Q capital ratios'!$S$4</definedName>
    <definedName name="_vena_CapSCUSAunadjusted_B1_C_4_230862937282183168">'CCAR 9Q capital ratios'!$U$4</definedName>
    <definedName name="_vena_CapSCUSAunadjusted_B1_C_4_230862937282183168_1">'CCAR 9Q capital ratios'!$V$4</definedName>
    <definedName name="_vena_CapSCUSAunadjusted_B1_C_4_230862937282183168_2">'CCAR 9Q capital ratios'!$W$4</definedName>
    <definedName name="_vena_CapSCUSAunadjusted_B1_C_4_230862937282183168_3">'CCAR 9Q capital ratios'!$X$4</definedName>
    <definedName name="_vena_CapSCUSAunadjusted_B1_C_4_230862937282183168_4">'CCAR 9Q capital ratios'!$Y$4</definedName>
    <definedName name="_vena_CapSCUSAunadjusted_B1_C_4_230862937282183168_5">'CCAR 9Q capital ratios'!$Z$4</definedName>
    <definedName name="_vena_CapSCUSAunadjusted_B1_C_4_230862937282183168_6">'CCAR 9Q capital ratios'!$AA$4</definedName>
    <definedName name="_vena_CapSCUSAunadjusted_B1_C_4_230862937282183168_7">'CCAR 9Q capital ratios'!$AB$4</definedName>
    <definedName name="_vena_CapSCUSAunadjusted_B1_C_4_230862937282183168_8">'CCAR 9Q capital ratios'!$AC$4</definedName>
    <definedName name="_vena_CapSCUSAunadjusted_B1_C_4_230862963278479360">'CCAR 9Q capital ratios'!$AE$4</definedName>
    <definedName name="_vena_CapSCUSAunadjusted_B1_C_4_230862963278479360_1">'CCAR 9Q capital ratios'!$AF$4</definedName>
    <definedName name="_vena_CapSCUSAunadjusted_B1_C_4_230862963278479360_2">'CCAR 9Q capital ratios'!$AG$4</definedName>
    <definedName name="_vena_CapSCUSAunadjusted_B1_C_4_230862963278479360_3">'CCAR 9Q capital ratios'!$AH$4</definedName>
    <definedName name="_vena_CapSCUSAunadjusted_B1_C_4_230862963278479360_4">'CCAR 9Q capital ratios'!$AI$4</definedName>
    <definedName name="_vena_CapSCUSAunadjusted_B1_C_4_230862963278479360_5">'CCAR 9Q capital ratios'!$AJ$4</definedName>
    <definedName name="_vena_CapSCUSAunadjusted_B1_C_4_230862963278479360_6">'CCAR 9Q capital ratios'!$AK$4</definedName>
    <definedName name="_vena_CapSCUSAunadjusted_B1_C_4_230862963278479360_7">'CCAR 9Q capital ratios'!$AL$4</definedName>
    <definedName name="_vena_CapSCUSAunadjusted_B1_C_4_230862963278479360_8">'CCAR 9Q capital ratios'!$AM$4</definedName>
    <definedName name="_vena_CapSCUSAunadjusted_B1_C_4_230863001366953984">'CCAR 9Q capital ratios'!$AO$4</definedName>
    <definedName name="_vena_CapSCUSAunadjusted_B1_C_4_230863001366953984_1">'CCAR 9Q capital ratios'!$AP$4</definedName>
    <definedName name="_vena_CapSCUSAunadjusted_B1_C_4_230863001366953984_2">'CCAR 9Q capital ratios'!$AQ$4</definedName>
    <definedName name="_vena_CapSCUSAunadjusted_B1_C_4_230863001366953984_3">'CCAR 9Q capital ratios'!$AR$4</definedName>
    <definedName name="_vena_CapSCUSAunadjusted_B1_C_4_230863001366953984_4">'CCAR 9Q capital ratios'!$AS$4</definedName>
    <definedName name="_vena_CapSCUSAunadjusted_B1_C_4_230863001366953984_5">'CCAR 9Q capital ratios'!$AT$4</definedName>
    <definedName name="_vena_CapSCUSAunadjusted_B1_C_4_230863001366953984_6">'CCAR 9Q capital ratios'!$AU$4</definedName>
    <definedName name="_vena_CapSCUSAunadjusted_B1_C_4_230863001366953984_7">'CCAR 9Q capital ratios'!$AV$4</definedName>
    <definedName name="_vena_CapSCUSAunadjusted_B1_C_4_230863001366953984_8">'CCAR 9Q capital ratios'!$AW$4</definedName>
    <definedName name="_vena_CapSCUSAunadjusted_B1_C_4_230863046111789056">'CCAR 9Q capital ratios'!$AY$4</definedName>
    <definedName name="_vena_CapSCUSAunadjusted_B1_C_4_230863046111789056_1">'CCAR 9Q capital ratios'!$AZ$4</definedName>
    <definedName name="_vena_CapSCUSAunadjusted_B1_C_4_230863046111789056_2">'CCAR 9Q capital ratios'!$BA$4</definedName>
    <definedName name="_vena_CapSCUSAunadjusted_B1_C_4_230863046111789056_3">'CCAR 9Q capital ratios'!$BB$4</definedName>
    <definedName name="_vena_CapSCUSAunadjusted_B1_C_4_230863046111789056_4">'CCAR 9Q capital ratios'!$BC$4</definedName>
    <definedName name="_vena_CapSCUSAunadjusted_B1_C_4_230863046111789056_5">'CCAR 9Q capital ratios'!$BD$4</definedName>
    <definedName name="_vena_CapSCUSAunadjusted_B1_C_4_230863046111789056_6">'CCAR 9Q capital ratios'!$BE$4</definedName>
    <definedName name="_vena_CapSCUSAunadjusted_B1_C_4_230863046111789056_7">'CCAR 9Q capital ratios'!$BF$4</definedName>
    <definedName name="_vena_CapSCUSAunadjusted_B1_C_4_230863046111789056_8">'CCAR 9Q capital ratios'!$BG$4</definedName>
    <definedName name="_vena_CapSCUSAunadjusted_B1_C_4_230863071093063680">'CCAR 9Q capital ratios'!$F$4</definedName>
    <definedName name="_vena_CapSCUSAunadjusted_B1_C_4_230863071093063680_1">'CCAR 9Q capital ratios'!$G$4</definedName>
    <definedName name="_vena_CapSCUSAunadjusted_B1_C_4_230863071093063680_2">'CCAR 9Q capital ratios'!$H$4</definedName>
    <definedName name="_vena_CapSCUSAunadjusted_B1_C_4_230863071093063680_3">'CCAR 9Q capital ratios'!$I$4</definedName>
    <definedName name="_vena_CapSCUSAunadjusted_B1_C_FV_6053e8fe227041fcbe8015c4f16779fe_10">'CCAR 9Q capital ratios'!$P$2</definedName>
    <definedName name="_vena_CapSCUSAunadjusted_B1_C_FV_6053e8fe227041fcbe8015c4f16779fe_11">'CCAR 9Q capital ratios'!$Q$2</definedName>
    <definedName name="_vena_CapSCUSAunadjusted_B1_C_FV_6053e8fe227041fcbe8015c4f16779fe_12">'CCAR 9Q capital ratios'!$R$2</definedName>
    <definedName name="_vena_CapSCUSAunadjusted_B1_C_FV_6053e8fe227041fcbe8015c4f16779fe_13">'CCAR 9Q capital ratios'!$S$2</definedName>
    <definedName name="_vena_CapSCUSAunadjusted_B1_C_FV_6053e8fe227041fcbe8015c4f16779fe_14">'CCAR 9Q capital ratios'!$U$2</definedName>
    <definedName name="_vena_CapSCUSAunadjusted_B1_C_FV_6053e8fe227041fcbe8015c4f16779fe_15">'CCAR 9Q capital ratios'!$V$2</definedName>
    <definedName name="_vena_CapSCUSAunadjusted_B1_C_FV_6053e8fe227041fcbe8015c4f16779fe_16">'CCAR 9Q capital ratios'!$W$2</definedName>
    <definedName name="_vena_CapSCUSAunadjusted_B1_C_FV_6053e8fe227041fcbe8015c4f16779fe_17">'CCAR 9Q capital ratios'!$X$2</definedName>
    <definedName name="_vena_CapSCUSAunadjusted_B1_C_FV_6053e8fe227041fcbe8015c4f16779fe_18">'CCAR 9Q capital ratios'!$Y$2</definedName>
    <definedName name="_vena_CapSCUSAunadjusted_B1_C_FV_6053e8fe227041fcbe8015c4f16779fe_19">'CCAR 9Q capital ratios'!$Z$2</definedName>
    <definedName name="_vena_CapSCUSAunadjusted_B1_C_FV_6053e8fe227041fcbe8015c4f16779fe_20">'CCAR 9Q capital ratios'!$AA$2</definedName>
    <definedName name="_vena_CapSCUSAunadjusted_B1_C_FV_6053e8fe227041fcbe8015c4f16779fe_21">'CCAR 9Q capital ratios'!$AB$2</definedName>
    <definedName name="_vena_CapSCUSAunadjusted_B1_C_FV_6053e8fe227041fcbe8015c4f16779fe_22">'CCAR 9Q capital ratios'!$AC$2</definedName>
    <definedName name="_vena_CapSCUSAunadjusted_B1_C_FV_6053e8fe227041fcbe8015c4f16779fe_23">'CCAR 9Q capital ratios'!$AE$2</definedName>
    <definedName name="_vena_CapSCUSAunadjusted_B1_C_FV_6053e8fe227041fcbe8015c4f16779fe_24">'CCAR 9Q capital ratios'!$AF$2</definedName>
    <definedName name="_vena_CapSCUSAunadjusted_B1_C_FV_6053e8fe227041fcbe8015c4f16779fe_25">'CCAR 9Q capital ratios'!$AG$2</definedName>
    <definedName name="_vena_CapSCUSAunadjusted_B1_C_FV_6053e8fe227041fcbe8015c4f16779fe_26">'CCAR 9Q capital ratios'!$AH$2</definedName>
    <definedName name="_vena_CapSCUSAunadjusted_B1_C_FV_6053e8fe227041fcbe8015c4f16779fe_27">'CCAR 9Q capital ratios'!$AI$2</definedName>
    <definedName name="_vena_CapSCUSAunadjusted_B1_C_FV_6053e8fe227041fcbe8015c4f16779fe_28">'CCAR 9Q capital ratios'!$AJ$2</definedName>
    <definedName name="_vena_CapSCUSAunadjusted_B1_C_FV_6053e8fe227041fcbe8015c4f16779fe_29">'CCAR 9Q capital ratios'!$AK$2</definedName>
    <definedName name="_vena_CapSCUSAunadjusted_B1_C_FV_6053e8fe227041fcbe8015c4f16779fe_30">'CCAR 9Q capital ratios'!$AL$2</definedName>
    <definedName name="_vena_CapSCUSAunadjusted_B1_C_FV_6053e8fe227041fcbe8015c4f16779fe_31">'CCAR 9Q capital ratios'!$AM$2</definedName>
    <definedName name="_vena_CapSCUSAunadjusted_B1_C_FV_6053e8fe227041fcbe8015c4f16779fe_32">'CCAR 9Q capital ratios'!$AO$2</definedName>
    <definedName name="_vena_CapSCUSAunadjusted_B1_C_FV_6053e8fe227041fcbe8015c4f16779fe_33">'CCAR 9Q capital ratios'!$AP$2</definedName>
    <definedName name="_vena_CapSCUSAunadjusted_B1_C_FV_6053e8fe227041fcbe8015c4f16779fe_34">'CCAR 9Q capital ratios'!$AQ$2</definedName>
    <definedName name="_vena_CapSCUSAunadjusted_B1_C_FV_6053e8fe227041fcbe8015c4f16779fe_35">'CCAR 9Q capital ratios'!$AR$2</definedName>
    <definedName name="_vena_CapSCUSAunadjusted_B1_C_FV_6053e8fe227041fcbe8015c4f16779fe_36">'CCAR 9Q capital ratios'!$AS$2</definedName>
    <definedName name="_vena_CapSCUSAunadjusted_B1_C_FV_6053e8fe227041fcbe8015c4f16779fe_37">'CCAR 9Q capital ratios'!$AT$2</definedName>
    <definedName name="_vena_CapSCUSAunadjusted_B1_C_FV_6053e8fe227041fcbe8015c4f16779fe_38">'CCAR 9Q capital ratios'!$AU$2</definedName>
    <definedName name="_vena_CapSCUSAunadjusted_B1_C_FV_6053e8fe227041fcbe8015c4f16779fe_39">'CCAR 9Q capital ratios'!$AV$2</definedName>
    <definedName name="_vena_CapSCUSAunadjusted_B1_C_FV_6053e8fe227041fcbe8015c4f16779fe_40">'CCAR 9Q capital ratios'!$AW$2</definedName>
    <definedName name="_vena_CapSCUSAunadjusted_B1_C_FV_6053e8fe227041fcbe8015c4f16779fe_41">'CCAR 9Q capital ratios'!$AY$2</definedName>
    <definedName name="_vena_CapSCUSAunadjusted_B1_C_FV_6053e8fe227041fcbe8015c4f16779fe_42">'CCAR 9Q capital ratios'!$AZ$2</definedName>
    <definedName name="_vena_CapSCUSAunadjusted_B1_C_FV_6053e8fe227041fcbe8015c4f16779fe_43">'CCAR 9Q capital ratios'!$BA$2</definedName>
    <definedName name="_vena_CapSCUSAunadjusted_B1_C_FV_6053e8fe227041fcbe8015c4f16779fe_44">'CCAR 9Q capital ratios'!$BB$2</definedName>
    <definedName name="_vena_CapSCUSAunadjusted_B1_C_FV_6053e8fe227041fcbe8015c4f16779fe_45">'CCAR 9Q capital ratios'!$BC$2</definedName>
    <definedName name="_vena_CapSCUSAunadjusted_B1_C_FV_6053e8fe227041fcbe8015c4f16779fe_46">'CCAR 9Q capital ratios'!$BD$2</definedName>
    <definedName name="_vena_CapSCUSAunadjusted_B1_C_FV_6053e8fe227041fcbe8015c4f16779fe_47">'CCAR 9Q capital ratios'!$BE$2</definedName>
    <definedName name="_vena_CapSCUSAunadjusted_B1_C_FV_6053e8fe227041fcbe8015c4f16779fe_48">'CCAR 9Q capital ratios'!$BF$2</definedName>
    <definedName name="_vena_CapSCUSAunadjusted_B1_C_FV_6053e8fe227041fcbe8015c4f16779fe_49">'CCAR 9Q capital ratios'!$BG$2</definedName>
    <definedName name="_vena_CapSCUSAunadjusted_B1_C_FV_6053e8fe227041fcbe8015c4f16779fe_5">'CCAR 9Q capital ratios'!$K$2</definedName>
    <definedName name="_vena_CapSCUSAunadjusted_B1_C_FV_6053e8fe227041fcbe8015c4f16779fe_50">'CCAR 9Q capital ratios'!$F$2</definedName>
    <definedName name="_vena_CapSCUSAunadjusted_B1_C_FV_6053e8fe227041fcbe8015c4f16779fe_51">'CCAR 9Q capital ratios'!$G$2</definedName>
    <definedName name="_vena_CapSCUSAunadjusted_B1_C_FV_6053e8fe227041fcbe8015c4f16779fe_52">'CCAR 9Q capital ratios'!$H$2</definedName>
    <definedName name="_vena_CapSCUSAunadjusted_B1_C_FV_6053e8fe227041fcbe8015c4f16779fe_53">'CCAR 9Q capital ratios'!$I$2</definedName>
    <definedName name="_vena_CapSCUSAunadjusted_B1_C_FV_6053e8fe227041fcbe8015c4f16779fe_6">'CCAR 9Q capital ratios'!$L$2</definedName>
    <definedName name="_vena_CapSCUSAunadjusted_B1_C_FV_6053e8fe227041fcbe8015c4f16779fe_7">'CCAR 9Q capital ratios'!$M$2</definedName>
    <definedName name="_vena_CapSCUSAunadjusted_B1_C_FV_6053e8fe227041fcbe8015c4f16779fe_8">'CCAR 9Q capital ratios'!$N$2</definedName>
    <definedName name="_vena_CapSCUSAunadjusted_B1_C_FV_6053e8fe227041fcbe8015c4f16779fe_9">'CCAR 9Q capital ratios'!$O$2</definedName>
    <definedName name="_vena_CapSCUSAunadjusted_B1_R_6_230844512380125185">'CCAR 9Q capital ratios'!$B$20</definedName>
    <definedName name="_vena_CapSCUSAunadjusted_B1_R_6_230844512384319489">'CCAR 9Q capital ratios'!$B$22</definedName>
    <definedName name="_vena_CapSCUSAunadjusted_B1_R_6_230844512392708096">'CCAR 9Q capital ratios'!$B$24</definedName>
    <definedName name="_vena_CapSCUSAunadjusted_B1_R_6_230844513344815105">'CCAR 9Q capital ratios'!$B$26</definedName>
    <definedName name="_vena_CapSCUSAunadjusted_B1_R_6_230844513944600577">'CCAR 9Q capital ratios'!$B$18</definedName>
    <definedName name="_vena_CapSCUSAunadjusted_B1_R_6_230844513952989185">'CCAR 9Q capital ratios'!$B$17</definedName>
    <definedName name="_vena_CapSCUSAunadjusted_B1_R_6_230844515102228481">'CCAR 9Q capital ratios'!$B$21</definedName>
    <definedName name="_vena_CapSCUSAunadjusted_B1_R_6_230844515106422785">'CCAR 9Q capital ratios'!$B$23</definedName>
    <definedName name="_vena_CapSCUSAunadjusted_B1_R_6_230844515110617089">'CCAR 9Q capital ratios'!$B$25</definedName>
    <definedName name="_vena_CapSCUSAunadjusted_B1_R_6_248210771032539137">'CCAR 9Q capital ratios'!$B$12</definedName>
    <definedName name="_vena_CapSCUSAunadjusted_B1_R_6_248210771053510656">'CCAR 9Q capital ratios'!$B$13</definedName>
    <definedName name="_vena_CapSCUSAunadjusted_B1_R_6_248210771066093569">'CCAR 9Q capital ratios'!$B$15</definedName>
    <definedName name="_vena_CapSCUSAunadjusted_B1_R_6_248210771070287882">'CCAR 9Q capital ratios'!$B$27</definedName>
    <definedName name="_vena_CapSCUSAunadjusted_B1_R_6_248210771074482177">'CCAR 9Q capital ratios'!$B$28</definedName>
    <definedName name="_vena_CapSCUSAunadjusted_B1_R_6_248210771082870785">'CCAR 9Q capital ratios'!$B$29</definedName>
    <definedName name="_vena_CapSCUSAunadjusted_B1_R_6_266748583985152000">'CCAR 9Q capital ratios'!$B$14</definedName>
    <definedName name="_vena_CapSCUSAunadjusted_B1_R_6_266756787259179008">'CCAR 9Q capital ratios'!$B$30</definedName>
    <definedName name="_vena_CapSCUSAunadjusted_B1_R_9_273913475468623872">'CCAR 9Q capital ratios'!$BI$12</definedName>
    <definedName name="_vena_CapSCUSAunadjusted_B1_R_9_273913475468623872_1">'CCAR 9Q capital ratios'!$BI$13</definedName>
    <definedName name="_vena_CapSCUSAunadjusted_B1_R_9_273913475468623872_10">'CCAR 9Q capital ratios'!$BI$24</definedName>
    <definedName name="_vena_CapSCUSAunadjusted_B1_R_9_273913475468623872_11">'CCAR 9Q capital ratios'!$BI$25</definedName>
    <definedName name="_vena_CapSCUSAunadjusted_B1_R_9_273913475468623872_12">'CCAR 9Q capital ratios'!$BI$26</definedName>
    <definedName name="_vena_CapSCUSAunadjusted_B1_R_9_273913475468623872_13">'CCAR 9Q capital ratios'!$BI$27</definedName>
    <definedName name="_vena_CapSCUSAunadjusted_B1_R_9_273913475468623872_14">'CCAR 9Q capital ratios'!$BI$28</definedName>
    <definedName name="_vena_CapSCUSAunadjusted_B1_R_9_273913475468623872_15">'CCAR 9Q capital ratios'!$BI$29</definedName>
    <definedName name="_vena_CapSCUSAunadjusted_B1_R_9_273913475468623872_16">'CCAR 9Q capital ratios'!$BI$30</definedName>
    <definedName name="_vena_CapSCUSAunadjusted_B1_R_9_273913475468623872_2">'CCAR 9Q capital ratios'!$BI$14</definedName>
    <definedName name="_vena_CapSCUSAunadjusted_B1_R_9_273913475468623872_3">'CCAR 9Q capital ratios'!$BI$15</definedName>
    <definedName name="_vena_CapSCUSAunadjusted_B1_R_9_273913475468623872_4">'CCAR 9Q capital ratios'!$BI$17</definedName>
    <definedName name="_vena_CapSCUSAunadjusted_B1_R_9_273913475468623872_5">'CCAR 9Q capital ratios'!$BI$18</definedName>
    <definedName name="_vena_CapSCUSAunadjusted_B1_R_9_273913475468623872_6">'CCAR 9Q capital ratios'!$BI$20</definedName>
    <definedName name="_vena_CapSCUSAunadjusted_B1_R_9_273913475468623872_7">'CCAR 9Q capital ratios'!$BI$21</definedName>
    <definedName name="_vena_CapSCUSAunadjusted_B1_R_9_273913475468623872_8">'CCAR 9Q capital ratios'!$BI$22</definedName>
    <definedName name="_vena_CapSCUSAunadjusted_B1_R_9_273913475468623872_9">'CCAR 9Q capital ratios'!$BI$23</definedName>
    <definedName name="_vena_CapSCUSAunadjusted_B2_C_1_230858509795983360">'CCAR 9Q capital ratios'!$F$35</definedName>
    <definedName name="_vena_CapSCUSAunadjusted_B2_C_1_230858525113581568">'CCAR 9Q capital ratios'!$G$35</definedName>
    <definedName name="_vena_CapSCUSAunadjusted_B2_C_1_230858539172888576">'CCAR 9Q capital ratios'!$H$35</definedName>
    <definedName name="_vena_CapSCUSAunadjusted_B2_C_1_230858563583737856">'CCAR 9Q capital ratios'!$I$35</definedName>
    <definedName name="_vena_CapSCUSAunadjusted_B2_C_1_230858841607110656">'CCAR 9Q capital ratios'!$AY$35</definedName>
    <definedName name="_vena_CapSCUSAunadjusted_B2_C_1_230858841607110656_1">'CCAR 9Q capital ratios'!$AO$35</definedName>
    <definedName name="_vena_CapSCUSAunadjusted_B2_C_1_230858841607110656_2">'CCAR 9Q capital ratios'!$AE$35</definedName>
    <definedName name="_vena_CapSCUSAunadjusted_B2_C_1_230858841607110656_3">'CCAR 9Q capital ratios'!$U$35</definedName>
    <definedName name="_vena_CapSCUSAunadjusted_B2_C_1_230858841607110656_4">'CCAR 9Q capital ratios'!$K$35</definedName>
    <definedName name="_vena_CapSCUSAunadjusted_B2_C_1_230858864537370624">'CCAR 9Q capital ratios'!$AZ$35</definedName>
    <definedName name="_vena_CapSCUSAunadjusted_B2_C_1_230858864537370624_1">'CCAR 9Q capital ratios'!$AP$35</definedName>
    <definedName name="_vena_CapSCUSAunadjusted_B2_C_1_230858864537370624_2">'CCAR 9Q capital ratios'!$AF$35</definedName>
    <definedName name="_vena_CapSCUSAunadjusted_B2_C_1_230858864537370624_3">'CCAR 9Q capital ratios'!$V$35</definedName>
    <definedName name="_vena_CapSCUSAunadjusted_B2_C_1_230858864537370624_4">'CCAR 9Q capital ratios'!$L$35</definedName>
    <definedName name="_vena_CapSCUSAunadjusted_B2_C_1_230858883713728512">'CCAR 9Q capital ratios'!$BA$35</definedName>
    <definedName name="_vena_CapSCUSAunadjusted_B2_C_1_230858883713728512_1">'CCAR 9Q capital ratios'!$AQ$35</definedName>
    <definedName name="_vena_CapSCUSAunadjusted_B2_C_1_230858883713728512_2">'CCAR 9Q capital ratios'!$AG$35</definedName>
    <definedName name="_vena_CapSCUSAunadjusted_B2_C_1_230858883713728512_3">'CCAR 9Q capital ratios'!$W$35</definedName>
    <definedName name="_vena_CapSCUSAunadjusted_B2_C_1_230858883713728512_4">'CCAR 9Q capital ratios'!$M$35</definedName>
    <definedName name="_vena_CapSCUSAunadjusted_B2_C_1_230858941431545856">'CCAR 9Q capital ratios'!$BB$35</definedName>
    <definedName name="_vena_CapSCUSAunadjusted_B2_C_1_230858941431545856_1">'CCAR 9Q capital ratios'!$AR$35</definedName>
    <definedName name="_vena_CapSCUSAunadjusted_B2_C_1_230858941431545856_2">'CCAR 9Q capital ratios'!$AH$35</definedName>
    <definedName name="_vena_CapSCUSAunadjusted_B2_C_1_230858941431545856_3">'CCAR 9Q capital ratios'!$X$35</definedName>
    <definedName name="_vena_CapSCUSAunadjusted_B2_C_1_230858941431545856_4">'CCAR 9Q capital ratios'!$N$35</definedName>
    <definedName name="_vena_CapSCUSAunadjusted_B2_C_1_230859049971744768">'CCAR 9Q capital ratios'!$BC$35</definedName>
    <definedName name="_vena_CapSCUSAunadjusted_B2_C_1_230859049971744768_1">'CCAR 9Q capital ratios'!$AS$35</definedName>
    <definedName name="_vena_CapSCUSAunadjusted_B2_C_1_230859049971744768_2">'CCAR 9Q capital ratios'!$AI$35</definedName>
    <definedName name="_vena_CapSCUSAunadjusted_B2_C_1_230859049971744768_3">'CCAR 9Q capital ratios'!$Y$35</definedName>
    <definedName name="_vena_CapSCUSAunadjusted_B2_C_1_230859049971744768_4">'CCAR 9Q capital ratios'!$O$35</definedName>
    <definedName name="_vena_CapSCUSAunadjusted_B2_C_1_230859064827969536">'CCAR 9Q capital ratios'!$BD$35</definedName>
    <definedName name="_vena_CapSCUSAunadjusted_B2_C_1_230859064827969536_1">'CCAR 9Q capital ratios'!$AT$35</definedName>
    <definedName name="_vena_CapSCUSAunadjusted_B2_C_1_230859064827969536_2">'CCAR 9Q capital ratios'!$AJ$35</definedName>
    <definedName name="_vena_CapSCUSAunadjusted_B2_C_1_230859064827969536_3">'CCAR 9Q capital ratios'!$Z$35</definedName>
    <definedName name="_vena_CapSCUSAunadjusted_B2_C_1_230859064827969536_4">'CCAR 9Q capital ratios'!$P$35</definedName>
    <definedName name="_vena_CapSCUSAunadjusted_B2_C_1_230859078451068928">'CCAR 9Q capital ratios'!$BE$35</definedName>
    <definedName name="_vena_CapSCUSAunadjusted_B2_C_1_230859078451068928_1">'CCAR 9Q capital ratios'!$AU$35</definedName>
    <definedName name="_vena_CapSCUSAunadjusted_B2_C_1_230859078451068928_2">'CCAR 9Q capital ratios'!$AK$35</definedName>
    <definedName name="_vena_CapSCUSAunadjusted_B2_C_1_230859078451068928_3">'CCAR 9Q capital ratios'!$AA$35</definedName>
    <definedName name="_vena_CapSCUSAunadjusted_B2_C_1_230859078451068928_4">'CCAR 9Q capital ratios'!$Q$35</definedName>
    <definedName name="_vena_CapSCUSAunadjusted_B2_C_1_230859093835776000">'CCAR 9Q capital ratios'!$BF$35</definedName>
    <definedName name="_vena_CapSCUSAunadjusted_B2_C_1_230859093835776000_1">'CCAR 9Q capital ratios'!$AV$35</definedName>
    <definedName name="_vena_CapSCUSAunadjusted_B2_C_1_230859093835776000_2">'CCAR 9Q capital ratios'!$AL$35</definedName>
    <definedName name="_vena_CapSCUSAunadjusted_B2_C_1_230859093835776000_3">'CCAR 9Q capital ratios'!$AB$35</definedName>
    <definedName name="_vena_CapSCUSAunadjusted_B2_C_1_230859093835776000_4">'CCAR 9Q capital ratios'!$R$35</definedName>
    <definedName name="_vena_CapSCUSAunadjusted_B2_C_1_248550486083371008">'CCAR 9Q capital ratios'!$BG$35</definedName>
    <definedName name="_vena_CapSCUSAunadjusted_B2_C_1_248550486083371008_1">'CCAR 9Q capital ratios'!$AW$35</definedName>
    <definedName name="_vena_CapSCUSAunadjusted_B2_C_1_248550486083371008_2">'CCAR 9Q capital ratios'!$AM$35</definedName>
    <definedName name="_vena_CapSCUSAunadjusted_B2_C_1_248550486083371008_3">'CCAR 9Q capital ratios'!$AC$35</definedName>
    <definedName name="_vena_CapSCUSAunadjusted_B2_C_1_248550486083371008_4">'CCAR 9Q capital ratios'!$S$35</definedName>
    <definedName name="_vena_CapSCUSAunadjusted_B2_C_2_230860126356111360">'CCAR 9Q capital ratios'!$I$36</definedName>
    <definedName name="_vena_CapSCUSAunadjusted_B2_C_2_230860226616754176">'CCAR 9Q capital ratios'!$K$36</definedName>
    <definedName name="_vena_CapSCUSAunadjusted_B2_C_2_230860226616754176_1">'CCAR 9Q capital ratios'!$U$36</definedName>
    <definedName name="_vena_CapSCUSAunadjusted_B2_C_2_230860226616754176_2">'CCAR 9Q capital ratios'!$AE$36</definedName>
    <definedName name="_vena_CapSCUSAunadjusted_B2_C_2_230860226616754176_3">'CCAR 9Q capital ratios'!$AO$36</definedName>
    <definedName name="_vena_CapSCUSAunadjusted_B2_C_2_230860226616754176_4">'CCAR 9Q capital ratios'!$AY$36</definedName>
    <definedName name="_vena_CapSCUSAunadjusted_B2_C_2_230860237857488896">'CCAR 9Q capital ratios'!$L$36</definedName>
    <definedName name="_vena_CapSCUSAunadjusted_B2_C_2_230860237857488896_1">'CCAR 9Q capital ratios'!$V$36</definedName>
    <definedName name="_vena_CapSCUSAunadjusted_B2_C_2_230860237857488896_2">'CCAR 9Q capital ratios'!$AF$36</definedName>
    <definedName name="_vena_CapSCUSAunadjusted_B2_C_2_230860237857488896_3">'CCAR 9Q capital ratios'!$AP$36</definedName>
    <definedName name="_vena_CapSCUSAunadjusted_B2_C_2_230860237857488896_4">'CCAR 9Q capital ratios'!$AZ$36</definedName>
    <definedName name="_vena_CapSCUSAunadjusted_B2_C_2_230860246497755136">'CCAR 9Q capital ratios'!$M$36</definedName>
    <definedName name="_vena_CapSCUSAunadjusted_B2_C_2_230860246497755136_1">'CCAR 9Q capital ratios'!$W$36</definedName>
    <definedName name="_vena_CapSCUSAunadjusted_B2_C_2_230860246497755136_2">'CCAR 9Q capital ratios'!$AG$36</definedName>
    <definedName name="_vena_CapSCUSAunadjusted_B2_C_2_230860246497755136_3">'CCAR 9Q capital ratios'!$AQ$36</definedName>
    <definedName name="_vena_CapSCUSAunadjusted_B2_C_2_230860246497755136_4">'CCAR 9Q capital ratios'!$BA$36</definedName>
    <definedName name="_vena_CapSCUSAunadjusted_B2_C_2_230860256148848640">'CCAR 9Q capital ratios'!$N$36</definedName>
    <definedName name="_vena_CapSCUSAunadjusted_B2_C_2_230860256148848640_1">'CCAR 9Q capital ratios'!$X$36</definedName>
    <definedName name="_vena_CapSCUSAunadjusted_B2_C_2_230860256148848640_2">'CCAR 9Q capital ratios'!$AH$36</definedName>
    <definedName name="_vena_CapSCUSAunadjusted_B2_C_2_230860256148848640_3">'CCAR 9Q capital ratios'!$AR$36</definedName>
    <definedName name="_vena_CapSCUSAunadjusted_B2_C_2_230860256148848640_4">'CCAR 9Q capital ratios'!$BB$36</definedName>
    <definedName name="_vena_CapSCUSAunadjusted_B2_C_2_230860293570428928">'CCAR 9Q capital ratios'!$O$36</definedName>
    <definedName name="_vena_CapSCUSAunadjusted_B2_C_2_230860293570428928_1">'CCAR 9Q capital ratios'!$Y$36</definedName>
    <definedName name="_vena_CapSCUSAunadjusted_B2_C_2_230860293570428928_2">'CCAR 9Q capital ratios'!$AI$36</definedName>
    <definedName name="_vena_CapSCUSAunadjusted_B2_C_2_230860293570428928_3">'CCAR 9Q capital ratios'!$AS$36</definedName>
    <definedName name="_vena_CapSCUSAunadjusted_B2_C_2_230860293570428928_4">'CCAR 9Q capital ratios'!$BC$36</definedName>
    <definedName name="_vena_CapSCUSAunadjusted_B2_C_2_230860306308530176">'CCAR 9Q capital ratios'!$P$36</definedName>
    <definedName name="_vena_CapSCUSAunadjusted_B2_C_2_230860306308530176_1">'CCAR 9Q capital ratios'!$Z$36</definedName>
    <definedName name="_vena_CapSCUSAunadjusted_B2_C_2_230860306308530176_2">'CCAR 9Q capital ratios'!$AJ$36</definedName>
    <definedName name="_vena_CapSCUSAunadjusted_B2_C_2_230860306308530176_3">'CCAR 9Q capital ratios'!$AT$36</definedName>
    <definedName name="_vena_CapSCUSAunadjusted_B2_C_2_230860306308530176_4">'CCAR 9Q capital ratios'!$BD$36</definedName>
    <definedName name="_vena_CapSCUSAunadjusted_B2_C_2_230860320749518848">'CCAR 9Q capital ratios'!$Q$36</definedName>
    <definedName name="_vena_CapSCUSAunadjusted_B2_C_2_230860320749518848_1">'CCAR 9Q capital ratios'!$AA$36</definedName>
    <definedName name="_vena_CapSCUSAunadjusted_B2_C_2_230860320749518848_2">'CCAR 9Q capital ratios'!$AK$36</definedName>
    <definedName name="_vena_CapSCUSAunadjusted_B2_C_2_230860320749518848_3">'CCAR 9Q capital ratios'!$AU$36</definedName>
    <definedName name="_vena_CapSCUSAunadjusted_B2_C_2_230860320749518848_4">'CCAR 9Q capital ratios'!$BE$36</definedName>
    <definedName name="_vena_CapSCUSAunadjusted_B2_C_2_230860332363546624">'CCAR 9Q capital ratios'!$R$36</definedName>
    <definedName name="_vena_CapSCUSAunadjusted_B2_C_2_230860332363546624_1">'CCAR 9Q capital ratios'!$AB$36</definedName>
    <definedName name="_vena_CapSCUSAunadjusted_B2_C_2_230860332363546624_2">'CCAR 9Q capital ratios'!$AL$36</definedName>
    <definedName name="_vena_CapSCUSAunadjusted_B2_C_2_230860332363546624_3">'CCAR 9Q capital ratios'!$AV$36</definedName>
    <definedName name="_vena_CapSCUSAunadjusted_B2_C_2_230860332363546624_4">'CCAR 9Q capital ratios'!$BF$36</definedName>
    <definedName name="_vena_CapSCUSAunadjusted_B2_C_2_230860342882861056">'CCAR 9Q capital ratios'!$S$36</definedName>
    <definedName name="_vena_CapSCUSAunadjusted_B2_C_2_230860342882861056_1">'CCAR 9Q capital ratios'!$AC$36</definedName>
    <definedName name="_vena_CapSCUSAunadjusted_B2_C_2_230860342882861056_2">'CCAR 9Q capital ratios'!$AM$36</definedName>
    <definedName name="_vena_CapSCUSAunadjusted_B2_C_2_230860342882861056_3">'CCAR 9Q capital ratios'!$AW$36</definedName>
    <definedName name="_vena_CapSCUSAunadjusted_B2_C_2_230860342882861056_4">'CCAR 9Q capital ratios'!$BG$36</definedName>
    <definedName name="_vena_CapSCUSAunadjusted_B2_C_2_248614950019268608">'CCAR 9Q capital ratios'!$F$36</definedName>
    <definedName name="_vena_CapSCUSAunadjusted_B2_C_2_248614950019268608_1">'CCAR 9Q capital ratios'!$G$36</definedName>
    <definedName name="_vena_CapSCUSAunadjusted_B2_C_2_248614950019268608_2">'CCAR 9Q capital ratios'!$H$36</definedName>
    <definedName name="_vena_CapSCUSAunadjusted_B2_C_3_230860830692999168">'CCAR 9Q capital ratios'!$I$33</definedName>
    <definedName name="_vena_CapSCUSAunadjusted_B2_C_3_230860830692999168_1">'CCAR 9Q capital ratios'!$K$33</definedName>
    <definedName name="_vena_CapSCUSAunadjusted_B2_C_3_230860830692999168_10">'CCAR 9Q capital ratios'!$U$33</definedName>
    <definedName name="_vena_CapSCUSAunadjusted_B2_C_3_230860830692999168_11">'CCAR 9Q capital ratios'!$V$33</definedName>
    <definedName name="_vena_CapSCUSAunadjusted_B2_C_3_230860830692999168_12">'CCAR 9Q capital ratios'!$W$33</definedName>
    <definedName name="_vena_CapSCUSAunadjusted_B2_C_3_230860830692999168_13">'CCAR 9Q capital ratios'!$X$33</definedName>
    <definedName name="_vena_CapSCUSAunadjusted_B2_C_3_230860830692999168_14">'CCAR 9Q capital ratios'!$Y$33</definedName>
    <definedName name="_vena_CapSCUSAunadjusted_B2_C_3_230860830692999168_15">'CCAR 9Q capital ratios'!$Z$33</definedName>
    <definedName name="_vena_CapSCUSAunadjusted_B2_C_3_230860830692999168_16">'CCAR 9Q capital ratios'!$AA$33</definedName>
    <definedName name="_vena_CapSCUSAunadjusted_B2_C_3_230860830692999168_17">'CCAR 9Q capital ratios'!$AB$33</definedName>
    <definedName name="_vena_CapSCUSAunadjusted_B2_C_3_230860830692999168_18">'CCAR 9Q capital ratios'!$AC$33</definedName>
    <definedName name="_vena_CapSCUSAunadjusted_B2_C_3_230860830692999168_19">'CCAR 9Q capital ratios'!$AE$33</definedName>
    <definedName name="_vena_CapSCUSAunadjusted_B2_C_3_230860830692999168_2">'CCAR 9Q capital ratios'!$L$33</definedName>
    <definedName name="_vena_CapSCUSAunadjusted_B2_C_3_230860830692999168_20">'CCAR 9Q capital ratios'!$AF$33</definedName>
    <definedName name="_vena_CapSCUSAunadjusted_B2_C_3_230860830692999168_21">'CCAR 9Q capital ratios'!$AG$33</definedName>
    <definedName name="_vena_CapSCUSAunadjusted_B2_C_3_230860830692999168_22">'CCAR 9Q capital ratios'!$AH$33</definedName>
    <definedName name="_vena_CapSCUSAunadjusted_B2_C_3_230860830692999168_23">'CCAR 9Q capital ratios'!$AI$33</definedName>
    <definedName name="_vena_CapSCUSAunadjusted_B2_C_3_230860830692999168_24">'CCAR 9Q capital ratios'!$AJ$33</definedName>
    <definedName name="_vena_CapSCUSAunadjusted_B2_C_3_230860830692999168_25">'CCAR 9Q capital ratios'!$AK$33</definedName>
    <definedName name="_vena_CapSCUSAunadjusted_B2_C_3_230860830692999168_26">'CCAR 9Q capital ratios'!$AL$33</definedName>
    <definedName name="_vena_CapSCUSAunadjusted_B2_C_3_230860830692999168_27">'CCAR 9Q capital ratios'!$AM$33</definedName>
    <definedName name="_vena_CapSCUSAunadjusted_B2_C_3_230860830692999168_28">'CCAR 9Q capital ratios'!$AO$33</definedName>
    <definedName name="_vena_CapSCUSAunadjusted_B2_C_3_230860830692999168_29">'CCAR 9Q capital ratios'!$AP$33</definedName>
    <definedName name="_vena_CapSCUSAunadjusted_B2_C_3_230860830692999168_3">'CCAR 9Q capital ratios'!$M$33</definedName>
    <definedName name="_vena_CapSCUSAunadjusted_B2_C_3_230860830692999168_30">'CCAR 9Q capital ratios'!$AQ$33</definedName>
    <definedName name="_vena_CapSCUSAunadjusted_B2_C_3_230860830692999168_31">'CCAR 9Q capital ratios'!$AR$33</definedName>
    <definedName name="_vena_CapSCUSAunadjusted_B2_C_3_230860830692999168_32">'CCAR 9Q capital ratios'!$AS$33</definedName>
    <definedName name="_vena_CapSCUSAunadjusted_B2_C_3_230860830692999168_33">'CCAR 9Q capital ratios'!$AT$33</definedName>
    <definedName name="_vena_CapSCUSAunadjusted_B2_C_3_230860830692999168_34">'CCAR 9Q capital ratios'!$AU$33</definedName>
    <definedName name="_vena_CapSCUSAunadjusted_B2_C_3_230860830692999168_35">'CCAR 9Q capital ratios'!$AV$33</definedName>
    <definedName name="_vena_CapSCUSAunadjusted_B2_C_3_230860830692999168_36">'CCAR 9Q capital ratios'!$AW$33</definedName>
    <definedName name="_vena_CapSCUSAunadjusted_B2_C_3_230860830692999168_37">'CCAR 9Q capital ratios'!$AY$33</definedName>
    <definedName name="_vena_CapSCUSAunadjusted_B2_C_3_230860830692999168_38">'CCAR 9Q capital ratios'!$AZ$33</definedName>
    <definedName name="_vena_CapSCUSAunadjusted_B2_C_3_230860830692999168_39">'CCAR 9Q capital ratios'!$BA$33</definedName>
    <definedName name="_vena_CapSCUSAunadjusted_B2_C_3_230860830692999168_4">'CCAR 9Q capital ratios'!$N$33</definedName>
    <definedName name="_vena_CapSCUSAunadjusted_B2_C_3_230860830692999168_40">'CCAR 9Q capital ratios'!$BB$33</definedName>
    <definedName name="_vena_CapSCUSAunadjusted_B2_C_3_230860830692999168_41">'CCAR 9Q capital ratios'!$BC$33</definedName>
    <definedName name="_vena_CapSCUSAunadjusted_B2_C_3_230860830692999168_42">'CCAR 9Q capital ratios'!$BD$33</definedName>
    <definedName name="_vena_CapSCUSAunadjusted_B2_C_3_230860830692999168_43">'CCAR 9Q capital ratios'!$BE$33</definedName>
    <definedName name="_vena_CapSCUSAunadjusted_B2_C_3_230860830692999168_44">'CCAR 9Q capital ratios'!$BF$33</definedName>
    <definedName name="_vena_CapSCUSAunadjusted_B2_C_3_230860830692999168_45">'CCAR 9Q capital ratios'!$BG$33</definedName>
    <definedName name="_vena_CapSCUSAunadjusted_B2_C_3_230860830692999168_5">'CCAR 9Q capital ratios'!$O$33</definedName>
    <definedName name="_vena_CapSCUSAunadjusted_B2_C_3_230860830692999168_6">'CCAR 9Q capital ratios'!$P$33</definedName>
    <definedName name="_vena_CapSCUSAunadjusted_B2_C_3_230860830692999168_7">'CCAR 9Q capital ratios'!$Q$33</definedName>
    <definedName name="_vena_CapSCUSAunadjusted_B2_C_3_230860830692999168_8">'CCAR 9Q capital ratios'!$R$33</definedName>
    <definedName name="_vena_CapSCUSAunadjusted_B2_C_3_230860830692999168_9">'CCAR 9Q capital ratios'!$S$33</definedName>
    <definedName name="_vena_CapSCUSAunadjusted_B2_C_3_230860959693012992">'CCAR 9Q capital ratios'!$F$33</definedName>
    <definedName name="_vena_CapSCUSAunadjusted_B2_C_3_230860959693012992_1">'CCAR 9Q capital ratios'!$G$33</definedName>
    <definedName name="_vena_CapSCUSAunadjusted_B2_C_3_230860959693012992_2">'CCAR 9Q capital ratios'!$H$33</definedName>
    <definedName name="_vena_CapSCUSAunadjusted_B2_C_4_230862887281885184">'CCAR 9Q capital ratios'!$K$34</definedName>
    <definedName name="_vena_CapSCUSAunadjusted_B2_C_4_230862887281885184_1">'CCAR 9Q capital ratios'!$L$34</definedName>
    <definedName name="_vena_CapSCUSAunadjusted_B2_C_4_230862887281885184_2">'CCAR 9Q capital ratios'!$M$34</definedName>
    <definedName name="_vena_CapSCUSAunadjusted_B2_C_4_230862887281885184_3">'CCAR 9Q capital ratios'!$N$34</definedName>
    <definedName name="_vena_CapSCUSAunadjusted_B2_C_4_230862887281885184_4">'CCAR 9Q capital ratios'!$O$34</definedName>
    <definedName name="_vena_CapSCUSAunadjusted_B2_C_4_230862887281885184_5">'CCAR 9Q capital ratios'!$P$34</definedName>
    <definedName name="_vena_CapSCUSAunadjusted_B2_C_4_230862887281885184_6">'CCAR 9Q capital ratios'!$Q$34</definedName>
    <definedName name="_vena_CapSCUSAunadjusted_B2_C_4_230862887281885184_7">'CCAR 9Q capital ratios'!$R$34</definedName>
    <definedName name="_vena_CapSCUSAunadjusted_B2_C_4_230862887281885184_8">'CCAR 9Q capital ratios'!$S$34</definedName>
    <definedName name="_vena_CapSCUSAunadjusted_B2_C_4_230862937282183168">'CCAR 9Q capital ratios'!$U$34</definedName>
    <definedName name="_vena_CapSCUSAunadjusted_B2_C_4_230862937282183168_1">'CCAR 9Q capital ratios'!$V$34</definedName>
    <definedName name="_vena_CapSCUSAunadjusted_B2_C_4_230862937282183168_2">'CCAR 9Q capital ratios'!$W$34</definedName>
    <definedName name="_vena_CapSCUSAunadjusted_B2_C_4_230862937282183168_3">'CCAR 9Q capital ratios'!$X$34</definedName>
    <definedName name="_vena_CapSCUSAunadjusted_B2_C_4_230862937282183168_4">'CCAR 9Q capital ratios'!$Y$34</definedName>
    <definedName name="_vena_CapSCUSAunadjusted_B2_C_4_230862937282183168_5">'CCAR 9Q capital ratios'!$Z$34</definedName>
    <definedName name="_vena_CapSCUSAunadjusted_B2_C_4_230862937282183168_6">'CCAR 9Q capital ratios'!$AA$34</definedName>
    <definedName name="_vena_CapSCUSAunadjusted_B2_C_4_230862937282183168_7">'CCAR 9Q capital ratios'!$AB$34</definedName>
    <definedName name="_vena_CapSCUSAunadjusted_B2_C_4_230862937282183168_8">'CCAR 9Q capital ratios'!$AC$34</definedName>
    <definedName name="_vena_CapSCUSAunadjusted_B2_C_4_230862963278479360">'CCAR 9Q capital ratios'!$AE$34</definedName>
    <definedName name="_vena_CapSCUSAunadjusted_B2_C_4_230862963278479360_1">'CCAR 9Q capital ratios'!$AF$34</definedName>
    <definedName name="_vena_CapSCUSAunadjusted_B2_C_4_230862963278479360_2">'CCAR 9Q capital ratios'!$AG$34</definedName>
    <definedName name="_vena_CapSCUSAunadjusted_B2_C_4_230862963278479360_3">'CCAR 9Q capital ratios'!$AH$34</definedName>
    <definedName name="_vena_CapSCUSAunadjusted_B2_C_4_230862963278479360_4">'CCAR 9Q capital ratios'!$AI$34</definedName>
    <definedName name="_vena_CapSCUSAunadjusted_B2_C_4_230862963278479360_5">'CCAR 9Q capital ratios'!$AJ$34</definedName>
    <definedName name="_vena_CapSCUSAunadjusted_B2_C_4_230862963278479360_6">'CCAR 9Q capital ratios'!$AK$34</definedName>
    <definedName name="_vena_CapSCUSAunadjusted_B2_C_4_230862963278479360_7">'CCAR 9Q capital ratios'!$AL$34</definedName>
    <definedName name="_vena_CapSCUSAunadjusted_B2_C_4_230862963278479360_8">'CCAR 9Q capital ratios'!$AM$34</definedName>
    <definedName name="_vena_CapSCUSAunadjusted_B2_C_4_230863001366953984">'CCAR 9Q capital ratios'!$AO$34</definedName>
    <definedName name="_vena_CapSCUSAunadjusted_B2_C_4_230863001366953984_1">'CCAR 9Q capital ratios'!$AP$34</definedName>
    <definedName name="_vena_CapSCUSAunadjusted_B2_C_4_230863001366953984_2">'CCAR 9Q capital ratios'!$AQ$34</definedName>
    <definedName name="_vena_CapSCUSAunadjusted_B2_C_4_230863001366953984_3">'CCAR 9Q capital ratios'!$AR$34</definedName>
    <definedName name="_vena_CapSCUSAunadjusted_B2_C_4_230863001366953984_4">'CCAR 9Q capital ratios'!$AS$34</definedName>
    <definedName name="_vena_CapSCUSAunadjusted_B2_C_4_230863001366953984_5">'CCAR 9Q capital ratios'!$AT$34</definedName>
    <definedName name="_vena_CapSCUSAunadjusted_B2_C_4_230863001366953984_6">'CCAR 9Q capital ratios'!$AU$34</definedName>
    <definedName name="_vena_CapSCUSAunadjusted_B2_C_4_230863001366953984_7">'CCAR 9Q capital ratios'!$AV$34</definedName>
    <definedName name="_vena_CapSCUSAunadjusted_B2_C_4_230863001366953984_8">'CCAR 9Q capital ratios'!$AW$34</definedName>
    <definedName name="_vena_CapSCUSAunadjusted_B2_C_4_230863046111789056">'CCAR 9Q capital ratios'!$AY$34</definedName>
    <definedName name="_vena_CapSCUSAunadjusted_B2_C_4_230863046111789056_1">'CCAR 9Q capital ratios'!$AZ$34</definedName>
    <definedName name="_vena_CapSCUSAunadjusted_B2_C_4_230863046111789056_2">'CCAR 9Q capital ratios'!$BA$34</definedName>
    <definedName name="_vena_CapSCUSAunadjusted_B2_C_4_230863046111789056_3">'CCAR 9Q capital ratios'!$BB$34</definedName>
    <definedName name="_vena_CapSCUSAunadjusted_B2_C_4_230863046111789056_4">'CCAR 9Q capital ratios'!$BC$34</definedName>
    <definedName name="_vena_CapSCUSAunadjusted_B2_C_4_230863046111789056_5">'CCAR 9Q capital ratios'!$BD$34</definedName>
    <definedName name="_vena_CapSCUSAunadjusted_B2_C_4_230863046111789056_6">'CCAR 9Q capital ratios'!$BE$34</definedName>
    <definedName name="_vena_CapSCUSAunadjusted_B2_C_4_230863046111789056_7">'CCAR 9Q capital ratios'!$BF$34</definedName>
    <definedName name="_vena_CapSCUSAunadjusted_B2_C_4_230863046111789056_8">'CCAR 9Q capital ratios'!$BG$34</definedName>
    <definedName name="_vena_CapSCUSAunadjusted_B2_C_4_230863071093063680">'CCAR 9Q capital ratios'!$F$34</definedName>
    <definedName name="_vena_CapSCUSAunadjusted_B2_C_4_230863071093063680_1">'CCAR 9Q capital ratios'!$G$34</definedName>
    <definedName name="_vena_CapSCUSAunadjusted_B2_C_4_230863071093063680_2">'CCAR 9Q capital ratios'!$H$34</definedName>
    <definedName name="_vena_CapSCUSAunadjusted_B2_C_4_230863071093063680_3">'CCAR 9Q capital ratios'!$I$34</definedName>
    <definedName name="_vena_CapSCUSAunadjusted_B2_C_FV_6053e8fe227041fcbe8015c4f16779fe">'CCAR 9Q capital ratios'!$F$32</definedName>
    <definedName name="_vena_CapSCUSAunadjusted_B2_C_FV_6053e8fe227041fcbe8015c4f16779fe_1">'CCAR 9Q capital ratios'!$G$32</definedName>
    <definedName name="_vena_CapSCUSAunadjusted_B2_C_FV_6053e8fe227041fcbe8015c4f16779fe_10">'CCAR 9Q capital ratios'!$Q$32</definedName>
    <definedName name="_vena_CapSCUSAunadjusted_B2_C_FV_6053e8fe227041fcbe8015c4f16779fe_11">'CCAR 9Q capital ratios'!$R$32</definedName>
    <definedName name="_vena_CapSCUSAunadjusted_B2_C_FV_6053e8fe227041fcbe8015c4f16779fe_12">'CCAR 9Q capital ratios'!$S$32</definedName>
    <definedName name="_vena_CapSCUSAunadjusted_B2_C_FV_6053e8fe227041fcbe8015c4f16779fe_13">'CCAR 9Q capital ratios'!$U$32</definedName>
    <definedName name="_vena_CapSCUSAunadjusted_B2_C_FV_6053e8fe227041fcbe8015c4f16779fe_14">'CCAR 9Q capital ratios'!$V$32</definedName>
    <definedName name="_vena_CapSCUSAunadjusted_B2_C_FV_6053e8fe227041fcbe8015c4f16779fe_15">'CCAR 9Q capital ratios'!$W$32</definedName>
    <definedName name="_vena_CapSCUSAunadjusted_B2_C_FV_6053e8fe227041fcbe8015c4f16779fe_16">'CCAR 9Q capital ratios'!$X$32</definedName>
    <definedName name="_vena_CapSCUSAunadjusted_B2_C_FV_6053e8fe227041fcbe8015c4f16779fe_17">'CCAR 9Q capital ratios'!$Y$32</definedName>
    <definedName name="_vena_CapSCUSAunadjusted_B2_C_FV_6053e8fe227041fcbe8015c4f16779fe_18">'CCAR 9Q capital ratios'!$Z$32</definedName>
    <definedName name="_vena_CapSCUSAunadjusted_B2_C_FV_6053e8fe227041fcbe8015c4f16779fe_19">'CCAR 9Q capital ratios'!$AA$32</definedName>
    <definedName name="_vena_CapSCUSAunadjusted_B2_C_FV_6053e8fe227041fcbe8015c4f16779fe_2">'CCAR 9Q capital ratios'!$H$32</definedName>
    <definedName name="_vena_CapSCUSAunadjusted_B2_C_FV_6053e8fe227041fcbe8015c4f16779fe_20">'CCAR 9Q capital ratios'!$AB$32</definedName>
    <definedName name="_vena_CapSCUSAunadjusted_B2_C_FV_6053e8fe227041fcbe8015c4f16779fe_21">'CCAR 9Q capital ratios'!$AC$32</definedName>
    <definedName name="_vena_CapSCUSAunadjusted_B2_C_FV_6053e8fe227041fcbe8015c4f16779fe_22">'CCAR 9Q capital ratios'!$AE$32</definedName>
    <definedName name="_vena_CapSCUSAunadjusted_B2_C_FV_6053e8fe227041fcbe8015c4f16779fe_23">'CCAR 9Q capital ratios'!$AF$32</definedName>
    <definedName name="_vena_CapSCUSAunadjusted_B2_C_FV_6053e8fe227041fcbe8015c4f16779fe_24">'CCAR 9Q capital ratios'!$AG$32</definedName>
    <definedName name="_vena_CapSCUSAunadjusted_B2_C_FV_6053e8fe227041fcbe8015c4f16779fe_25">'CCAR 9Q capital ratios'!$AH$32</definedName>
    <definedName name="_vena_CapSCUSAunadjusted_B2_C_FV_6053e8fe227041fcbe8015c4f16779fe_26">'CCAR 9Q capital ratios'!$AI$32</definedName>
    <definedName name="_vena_CapSCUSAunadjusted_B2_C_FV_6053e8fe227041fcbe8015c4f16779fe_27">'CCAR 9Q capital ratios'!$AJ$32</definedName>
    <definedName name="_vena_CapSCUSAunadjusted_B2_C_FV_6053e8fe227041fcbe8015c4f16779fe_28">'CCAR 9Q capital ratios'!$AK$32</definedName>
    <definedName name="_vena_CapSCUSAunadjusted_B2_C_FV_6053e8fe227041fcbe8015c4f16779fe_29">'CCAR 9Q capital ratios'!$AL$32</definedName>
    <definedName name="_vena_CapSCUSAunadjusted_B2_C_FV_6053e8fe227041fcbe8015c4f16779fe_3">'CCAR 9Q capital ratios'!$I$32</definedName>
    <definedName name="_vena_CapSCUSAunadjusted_B2_C_FV_6053e8fe227041fcbe8015c4f16779fe_30">'CCAR 9Q capital ratios'!$AM$32</definedName>
    <definedName name="_vena_CapSCUSAunadjusted_B2_C_FV_6053e8fe227041fcbe8015c4f16779fe_31">'CCAR 9Q capital ratios'!$AO$32</definedName>
    <definedName name="_vena_CapSCUSAunadjusted_B2_C_FV_6053e8fe227041fcbe8015c4f16779fe_32">'CCAR 9Q capital ratios'!$AP$32</definedName>
    <definedName name="_vena_CapSCUSAunadjusted_B2_C_FV_6053e8fe227041fcbe8015c4f16779fe_33">'CCAR 9Q capital ratios'!$AQ$32</definedName>
    <definedName name="_vena_CapSCUSAunadjusted_B2_C_FV_6053e8fe227041fcbe8015c4f16779fe_34">'CCAR 9Q capital ratios'!$AR$32</definedName>
    <definedName name="_vena_CapSCUSAunadjusted_B2_C_FV_6053e8fe227041fcbe8015c4f16779fe_35">'CCAR 9Q capital ratios'!$AS$32</definedName>
    <definedName name="_vena_CapSCUSAunadjusted_B2_C_FV_6053e8fe227041fcbe8015c4f16779fe_36">'CCAR 9Q capital ratios'!$AT$32</definedName>
    <definedName name="_vena_CapSCUSAunadjusted_B2_C_FV_6053e8fe227041fcbe8015c4f16779fe_37">'CCAR 9Q capital ratios'!$AU$32</definedName>
    <definedName name="_vena_CapSCUSAunadjusted_B2_C_FV_6053e8fe227041fcbe8015c4f16779fe_38">'CCAR 9Q capital ratios'!$AV$32</definedName>
    <definedName name="_vena_CapSCUSAunadjusted_B2_C_FV_6053e8fe227041fcbe8015c4f16779fe_39">'CCAR 9Q capital ratios'!$AW$32</definedName>
    <definedName name="_vena_CapSCUSAunadjusted_B2_C_FV_6053e8fe227041fcbe8015c4f16779fe_4">'CCAR 9Q capital ratios'!$K$32</definedName>
    <definedName name="_vena_CapSCUSAunadjusted_B2_C_FV_6053e8fe227041fcbe8015c4f16779fe_40">'CCAR 9Q capital ratios'!$AY$32</definedName>
    <definedName name="_vena_CapSCUSAunadjusted_B2_C_FV_6053e8fe227041fcbe8015c4f16779fe_41">'CCAR 9Q capital ratios'!$AZ$32</definedName>
    <definedName name="_vena_CapSCUSAunadjusted_B2_C_FV_6053e8fe227041fcbe8015c4f16779fe_42">'CCAR 9Q capital ratios'!$BA$32</definedName>
    <definedName name="_vena_CapSCUSAunadjusted_B2_C_FV_6053e8fe227041fcbe8015c4f16779fe_43">'CCAR 9Q capital ratios'!$BB$32</definedName>
    <definedName name="_vena_CapSCUSAunadjusted_B2_C_FV_6053e8fe227041fcbe8015c4f16779fe_44">'CCAR 9Q capital ratios'!$BC$32</definedName>
    <definedName name="_vena_CapSCUSAunadjusted_B2_C_FV_6053e8fe227041fcbe8015c4f16779fe_45">'CCAR 9Q capital ratios'!$BD$32</definedName>
    <definedName name="_vena_CapSCUSAunadjusted_B2_C_FV_6053e8fe227041fcbe8015c4f16779fe_46">'CCAR 9Q capital ratios'!$BE$32</definedName>
    <definedName name="_vena_CapSCUSAunadjusted_B2_C_FV_6053e8fe227041fcbe8015c4f16779fe_47">'CCAR 9Q capital ratios'!$BF$32</definedName>
    <definedName name="_vena_CapSCUSAunadjusted_B2_C_FV_6053e8fe227041fcbe8015c4f16779fe_48">'CCAR 9Q capital ratios'!$BG$32</definedName>
    <definedName name="_vena_CapSCUSAunadjusted_B2_C_FV_6053e8fe227041fcbe8015c4f16779fe_5">'CCAR 9Q capital ratios'!$L$32</definedName>
    <definedName name="_vena_CapSCUSAunadjusted_B2_C_FV_6053e8fe227041fcbe8015c4f16779fe_6">'CCAR 9Q capital ratios'!$M$32</definedName>
    <definedName name="_vena_CapSCUSAunadjusted_B2_C_FV_6053e8fe227041fcbe8015c4f16779fe_7">'CCAR 9Q capital ratios'!$N$32</definedName>
    <definedName name="_vena_CapSCUSAunadjusted_B2_C_FV_6053e8fe227041fcbe8015c4f16779fe_8">'CCAR 9Q capital ratios'!$O$32</definedName>
    <definedName name="_vena_CapSCUSAunadjusted_B2_C_FV_6053e8fe227041fcbe8015c4f16779fe_9">'CCAR 9Q capital ratios'!$P$32</definedName>
    <definedName name="_vena_CapSCUSAunadjusted_B2_R_6_248210771212894209">'CCAR 9Q capital ratios'!$B$39</definedName>
    <definedName name="_vena_CapSCUSAunadjusted_B2_R_6_248210771221282817">'CCAR 9Q capital ratios'!$B$40</definedName>
    <definedName name="_vena_CapSCUSAunadjusted_B2_R_6_248210771225477121">'CCAR 9Q capital ratios'!$B$41</definedName>
    <definedName name="_vena_CapSCUSAunadjusted_B2_R_6_248210771229671425">'CCAR 9Q capital ratios'!$B$42</definedName>
    <definedName name="_vena_CapSCUSAunadjusted_B2_R_6_248210771242254337">'CCAR 9Q capital ratios'!$B$47</definedName>
    <definedName name="_vena_CapSCUSAunadjusted_B2_R_6_248210771246448641">'CCAR 9Q capital ratios'!$B$48</definedName>
    <definedName name="_vena_CapSCUSAunadjusted_B2_R_6_248210771250642945">'CCAR 9Q capital ratios'!$B$49</definedName>
    <definedName name="_vena_CapSCUSAunadjusted_B2_R_6_248210771254837249">'CCAR 9Q capital ratios'!$B$51</definedName>
    <definedName name="_vena_CapSCUSAunadjusted_B2_R_6_248210771259031553">'CCAR 9Q capital ratios'!$B$52</definedName>
    <definedName name="_vena_CapSCUSAunadjusted_B2_R_6_248210771267420161">'CCAR 9Q capital ratios'!$B$53</definedName>
    <definedName name="_vena_CapSCUSAunadjusted_B2_R_6_248210771271614465">'CCAR 9Q capital ratios'!$B$54</definedName>
    <definedName name="_vena_CapSCUSAunadjusted_B2_R_6_248210771275808769">'CCAR 9Q capital ratios'!$B$55</definedName>
    <definedName name="_vena_CapSCUSAunadjusted_B2_R_6_248210771280003073">'CCAR 9Q capital ratios'!$B$57</definedName>
    <definedName name="_vena_CapSCUSAunadjusted_B2_R_6_248210771288391681">'CCAR 9Q capital ratios'!$B$58</definedName>
    <definedName name="_vena_CapSCUSAunadjusted_B2_R_6_248210771292585985">'CCAR 9Q capital ratios'!$B$59</definedName>
    <definedName name="_vena_CapSCUSAunadjusted_B2_R_6_248210771296780289">'CCAR 9Q capital ratios'!$B$60</definedName>
    <definedName name="_vena_CapSCUSAunadjusted_B2_R_6_248210771305168897">'CCAR 9Q capital ratios'!$B$62</definedName>
    <definedName name="_vena_CapSCUSAunadjusted_B2_R_6_248210771305168897_1">'CCAR 9Q capital ratios'!$B$104</definedName>
    <definedName name="_vena_CapSCUSAunadjusted_B2_R_6_248210771313557505">'CCAR 9Q capital ratios'!$B$63</definedName>
    <definedName name="_vena_CapSCUSAunadjusted_B2_R_6_248210771313557505_1">'CCAR 9Q capital ratios'!$B$111</definedName>
    <definedName name="_vena_CapSCUSAunadjusted_B2_R_6_248210771317751809">'CCAR 9Q capital ratios'!$B$64</definedName>
    <definedName name="_vena_CapSCUSAunadjusted_B2_R_6_248210771317751809_1">'CCAR 9Q capital ratios'!$B$116</definedName>
    <definedName name="_vena_CapSCUSAunadjusted_B2_R_6_248210771321946113">'CCAR 9Q capital ratios'!$B$123</definedName>
    <definedName name="_vena_CapSCUSAunadjusted_B2_R_6_248210771326140417">'CCAR 9Q capital ratios'!$B$66</definedName>
    <definedName name="_vena_CapSCUSAunadjusted_B2_R_6_248210771342917633">'CCAR 9Q capital ratios'!$B$71</definedName>
    <definedName name="_vena_CapSCUSAunadjusted_B2_R_6_248210771347111937">'CCAR 9Q capital ratios'!$B$72</definedName>
    <definedName name="_vena_CapSCUSAunadjusted_B2_R_6_248210771351306241">'CCAR 9Q capital ratios'!$B$73</definedName>
    <definedName name="_vena_CapSCUSAunadjusted_B2_R_6_248210771363889153">'CCAR 9Q capital ratios'!$B$75</definedName>
    <definedName name="_vena_CapSCUSAunadjusted_B2_R_6_248210771376472065">'CCAR 9Q capital ratios'!$B$82</definedName>
    <definedName name="_vena_CapSCUSAunadjusted_B2_R_6_248210771380666369">'CCAR 9Q capital ratios'!$B$83</definedName>
    <definedName name="_vena_CapSCUSAunadjusted_B2_R_6_248210771389054977">'CCAR 9Q capital ratios'!$B$84</definedName>
    <definedName name="_vena_CapSCUSAunadjusted_B2_R_6_248210771393249281">'CCAR 9Q capital ratios'!$B$85</definedName>
    <definedName name="_vena_CapSCUSAunadjusted_B2_R_6_248210771401637889">'CCAR 9Q capital ratios'!$B$87</definedName>
    <definedName name="_vena_CapSCUSAunadjusted_B2_R_6_248210771418415105">'CCAR 9Q capital ratios'!$B$90</definedName>
    <definedName name="_vena_CapSCUSAunadjusted_B2_R_6_248210771439386625">'CCAR 9Q capital ratios'!$B$135</definedName>
    <definedName name="_vena_CapSCUSAunadjusted_B2_R_6_248210771443580929">'CCAR 9Q capital ratios'!$B$100</definedName>
    <definedName name="_vena_CapSCUSAunadjusted_B2_R_6_248210771447775233">'CCAR 9Q capital ratios'!$B$101</definedName>
    <definedName name="_vena_CapSCUSAunadjusted_B2_R_6_248210771451969537">'CCAR 9Q capital ratios'!$B$102</definedName>
    <definedName name="_vena_CapSCUSAunadjusted_B2_R_6_248210771456163841">'CCAR 9Q capital ratios'!$B$103</definedName>
    <definedName name="_vena_CapSCUSAunadjusted_B2_R_6_248210771456163841_1">'CCAR 9Q capital ratios'!$B$110</definedName>
    <definedName name="_vena_CapSCUSAunadjusted_B2_R_6_248210771456163841_2">'CCAR 9Q capital ratios'!$B$115</definedName>
    <definedName name="_vena_CapSCUSAunadjusted_B2_R_6_248210771464552449">'CCAR 9Q capital ratios'!$B$107</definedName>
    <definedName name="_vena_CapSCUSAunadjusted_B2_R_6_248210771468746753">'CCAR 9Q capital ratios'!$B$108</definedName>
    <definedName name="_vena_CapSCUSAunadjusted_B2_R_6_248210771472941057">'CCAR 9Q capital ratios'!$B$109</definedName>
    <definedName name="_vena_CapSCUSAunadjusted_B2_R_6_248210771477135361">'CCAR 9Q capital ratios'!$B$114</definedName>
    <definedName name="_vena_CapSCUSAunadjusted_B2_R_6_248210771485523969">'CCAR 9Q capital ratios'!$B$119</definedName>
    <definedName name="_vena_CapSCUSAunadjusted_B2_R_6_248210771489718273">'CCAR 9Q capital ratios'!$B$120</definedName>
    <definedName name="_vena_CapSCUSAunadjusted_B2_R_6_248210771493912577">'CCAR 9Q capital ratios'!$B$121</definedName>
    <definedName name="_vena_CapSCUSAunadjusted_B2_R_6_248210771498106881">'CCAR 9Q capital ratios'!$B$122</definedName>
    <definedName name="_vena_CapSCUSAunadjusted_B2_R_6_248210771506495488">'CCAR 9Q capital ratios'!$B$126</definedName>
    <definedName name="_vena_CapSCUSAunadjusted_B2_R_6_248210771510689793">'CCAR 9Q capital ratios'!$B$127</definedName>
    <definedName name="_vena_CapSCUSAunadjusted_B2_R_6_248210771514884097">'CCAR 9Q capital ratios'!$B$128</definedName>
    <definedName name="_vena_CapSCUSAunadjusted_B2_R_6_248210771535855617">'CCAR 9Q capital ratios'!$B$136</definedName>
    <definedName name="_vena_CapSCUSAunadjusted_B2_R_6_248210771540049921">'CCAR 9Q capital ratios'!$B$137</definedName>
    <definedName name="_vena_CapSCUSAunadjusted_B2_R_6_248210771544244225">'CCAR 9Q capital ratios'!$B$138</definedName>
    <definedName name="_vena_CapSCUSAunadjusted_B2_R_6_248210771556827137">'CCAR 9Q capital ratios'!$B$140</definedName>
    <definedName name="_vena_CapSCUSAunadjusted_B2_R_6_248210771561021441">'CCAR 9Q capital ratios'!$B$141</definedName>
    <definedName name="_vena_CapSCUSAunadjusted_B2_R_6_248210771565215745">'CCAR 9Q capital ratios'!$B$142</definedName>
    <definedName name="_vena_CapSCUSAunadjusted_B2_R_6_248210771573604352">'CCAR 9Q capital ratios'!$B$143</definedName>
    <definedName name="_vena_CapSCUSAunadjusted_B2_R_6_248210771577798657">'CCAR 9Q capital ratios'!$B$144</definedName>
    <definedName name="_vena_CapSCUSAunadjusted_B2_R_6_248210771581992961">'CCAR 9Q capital ratios'!$B$145</definedName>
    <definedName name="_vena_CapSCUSAunadjusted_B2_R_6_248210771586187265">'CCAR 9Q capital ratios'!$B$146</definedName>
    <definedName name="_vena_CapSCUSAunadjusted_B2_R_6_266768037674614784">'CCAR 9Q capital ratios'!$B$95</definedName>
    <definedName name="_vena_CapSCUSAunadjusted_B2_R_6_266768037674614784_1">'CCAR 9Q capital ratios'!$B$134</definedName>
    <definedName name="_vena_CapSCUSAunadjusted_B2_R_6_266769003396595712">'CCAR 9Q capital ratios'!$B$79</definedName>
    <definedName name="_vena_CapSCUSAunadjusted_B2_R_6_266769003396595712_1">'CCAR 9Q capital ratios'!$B$133</definedName>
    <definedName name="_vena_CapSCUSAunadjusted_B2_R_6_266769057523564544">'CCAR 9Q capital ratios'!$B$91</definedName>
    <definedName name="_vena_CapSCUSAunadjusted_B2_R_6_266769210523648000">'CCAR 9Q capital ratios'!$B$68</definedName>
    <definedName name="_vena_CapSCUSAunadjusted_B2_R_6_266769210523648000_1">'CCAR 9Q capital ratios'!$B$132</definedName>
    <definedName name="_vena_CapSCUSAunadjusted_B2_R_6_266769240000954368">'CCAR 9Q capital ratios'!$B$76</definedName>
    <definedName name="_vena_CapSCUSAunadjusted_B2_R_6_266769480632893440">'CCAR 9Q capital ratios'!$B$61</definedName>
    <definedName name="_vena_CapSCUSAunadjusted_B2_R_6_266769761273774080">'CCAR 9Q capital ratios'!$B$67</definedName>
    <definedName name="_vena_CapSCUSAunadjusted_B2_R_6_266771225748307976">'CCAR 9Q capital ratios'!$B$43</definedName>
    <definedName name="_vena_CapSCUSAunadjusted_B2_R_6_266776294786727936">'CCAR 9Q capital ratios'!$B$74</definedName>
    <definedName name="_vena_CapSCUSAunadjusted_B2_R_6_266777560057774080">'CCAR 9Q capital ratios'!$B$88</definedName>
    <definedName name="_vena_CapSCUSAunadjusted_B2_R_6_266782491321827328">'CCAR 9Q capital ratios'!$B$129</definedName>
    <definedName name="_vena_CapSCUSAunadjusted_B2_R_9_273914228170817536">'CCAR 9Q capital ratios'!$BI$39</definedName>
    <definedName name="_vena_CapSCUSAunadjusted_B2_R_9_273914228170817536_1">'CCAR 9Q capital ratios'!$BI$40</definedName>
    <definedName name="_vena_CapSCUSAunadjusted_B2_R_9_273914228170817536_10">'CCAR 9Q capital ratios'!$BI$53</definedName>
    <definedName name="_vena_CapSCUSAunadjusted_B2_R_9_273914228170817536_11">'CCAR 9Q capital ratios'!$BI$54</definedName>
    <definedName name="_vena_CapSCUSAunadjusted_B2_R_9_273914228170817536_12">'CCAR 9Q capital ratios'!$BI$55</definedName>
    <definedName name="_vena_CapSCUSAunadjusted_B2_R_9_273914228170817536_13">'CCAR 9Q capital ratios'!$BI$57</definedName>
    <definedName name="_vena_CapSCUSAunadjusted_B2_R_9_273914228170817536_14">'CCAR 9Q capital ratios'!$BI$58</definedName>
    <definedName name="_vena_CapSCUSAunadjusted_B2_R_9_273914228170817536_15">'CCAR 9Q capital ratios'!$BI$59</definedName>
    <definedName name="_vena_CapSCUSAunadjusted_B2_R_9_273914228170817536_16">'CCAR 9Q capital ratios'!$BI$60</definedName>
    <definedName name="_vena_CapSCUSAunadjusted_B2_R_9_273914228170817536_17">'CCAR 9Q capital ratios'!$BI$61</definedName>
    <definedName name="_vena_CapSCUSAunadjusted_B2_R_9_273914228170817536_18">'CCAR 9Q capital ratios'!$BI$62</definedName>
    <definedName name="_vena_CapSCUSAunadjusted_B2_R_9_273914228170817536_19">'CCAR 9Q capital ratios'!$BI$63</definedName>
    <definedName name="_vena_CapSCUSAunadjusted_B2_R_9_273914228170817536_2">'CCAR 9Q capital ratios'!$BI$41</definedName>
    <definedName name="_vena_CapSCUSAunadjusted_B2_R_9_273914228170817536_20">'CCAR 9Q capital ratios'!$BI$64</definedName>
    <definedName name="_vena_CapSCUSAunadjusted_B2_R_9_273914228170817536_21">'CCAR 9Q capital ratios'!$BI$66</definedName>
    <definedName name="_vena_CapSCUSAunadjusted_B2_R_9_273914228170817536_22">'CCAR 9Q capital ratios'!$BI$67</definedName>
    <definedName name="_vena_CapSCUSAunadjusted_B2_R_9_273914228170817536_23">'CCAR 9Q capital ratios'!$BI$68</definedName>
    <definedName name="_vena_CapSCUSAunadjusted_B2_R_9_273914228170817536_24">'CCAR 9Q capital ratios'!$BI$71</definedName>
    <definedName name="_vena_CapSCUSAunadjusted_B2_R_9_273914228170817536_25">'CCAR 9Q capital ratios'!$BI$72</definedName>
    <definedName name="_vena_CapSCUSAunadjusted_B2_R_9_273914228170817536_26">'CCAR 9Q capital ratios'!$BI$73</definedName>
    <definedName name="_vena_CapSCUSAunadjusted_B2_R_9_273914228170817536_27">'CCAR 9Q capital ratios'!$BI$74</definedName>
    <definedName name="_vena_CapSCUSAunadjusted_B2_R_9_273914228170817536_28">'CCAR 9Q capital ratios'!$BI$75</definedName>
    <definedName name="_vena_CapSCUSAunadjusted_B2_R_9_273914228170817536_29">'CCAR 9Q capital ratios'!$BI$76</definedName>
    <definedName name="_vena_CapSCUSAunadjusted_B2_R_9_273914228170817536_3">'CCAR 9Q capital ratios'!$BI$42</definedName>
    <definedName name="_vena_CapSCUSAunadjusted_B2_R_9_273914228170817536_30">'CCAR 9Q capital ratios'!$BI$79</definedName>
    <definedName name="_vena_CapSCUSAunadjusted_B2_R_9_273914228170817536_31">'CCAR 9Q capital ratios'!$BI$82</definedName>
    <definedName name="_vena_CapSCUSAunadjusted_B2_R_9_273914228170817536_32">'CCAR 9Q capital ratios'!$BI$83</definedName>
    <definedName name="_vena_CapSCUSAunadjusted_B2_R_9_273914228170817536_33">'CCAR 9Q capital ratios'!$BI$84</definedName>
    <definedName name="_vena_CapSCUSAunadjusted_B2_R_9_273914228170817536_34">'CCAR 9Q capital ratios'!$BI$85</definedName>
    <definedName name="_vena_CapSCUSAunadjusted_B2_R_9_273914228170817536_35">'CCAR 9Q capital ratios'!$BI$87</definedName>
    <definedName name="_vena_CapSCUSAunadjusted_B2_R_9_273914228170817536_36">'CCAR 9Q capital ratios'!$BI$88</definedName>
    <definedName name="_vena_CapSCUSAunadjusted_B2_R_9_273914228170817536_37">'CCAR 9Q capital ratios'!$BI$90</definedName>
    <definedName name="_vena_CapSCUSAunadjusted_B2_R_9_273914228170817536_38">'CCAR 9Q capital ratios'!$BI$91</definedName>
    <definedName name="_vena_CapSCUSAunadjusted_B2_R_9_273914228170817536_39">'CCAR 9Q capital ratios'!$BI$95</definedName>
    <definedName name="_vena_CapSCUSAunadjusted_B2_R_9_273914228170817536_4">'CCAR 9Q capital ratios'!$BI$43</definedName>
    <definedName name="_vena_CapSCUSAunadjusted_B2_R_9_273914228170817536_40">'CCAR 9Q capital ratios'!$BI$100</definedName>
    <definedName name="_vena_CapSCUSAunadjusted_B2_R_9_273914228170817536_41">'CCAR 9Q capital ratios'!$BI$101</definedName>
    <definedName name="_vena_CapSCUSAunadjusted_B2_R_9_273914228170817536_42">'CCAR 9Q capital ratios'!$BI$102</definedName>
    <definedName name="_vena_CapSCUSAunadjusted_B2_R_9_273914228170817536_43">'CCAR 9Q capital ratios'!$BI$103</definedName>
    <definedName name="_vena_CapSCUSAunadjusted_B2_R_9_273914228170817536_44">'CCAR 9Q capital ratios'!$BI$104</definedName>
    <definedName name="_vena_CapSCUSAunadjusted_B2_R_9_273914228170817536_45">'CCAR 9Q capital ratios'!$BI$107</definedName>
    <definedName name="_vena_CapSCUSAunadjusted_B2_R_9_273914228170817536_46">'CCAR 9Q capital ratios'!$BI$108</definedName>
    <definedName name="_vena_CapSCUSAunadjusted_B2_R_9_273914228170817536_47">'CCAR 9Q capital ratios'!$BI$109</definedName>
    <definedName name="_vena_CapSCUSAunadjusted_B2_R_9_273914228170817536_48">'CCAR 9Q capital ratios'!$BI$110</definedName>
    <definedName name="_vena_CapSCUSAunadjusted_B2_R_9_273914228170817536_49">'CCAR 9Q capital ratios'!$BI$111</definedName>
    <definedName name="_vena_CapSCUSAunadjusted_B2_R_9_273914228170817536_5">'CCAR 9Q capital ratios'!$BI$47</definedName>
    <definedName name="_vena_CapSCUSAunadjusted_B2_R_9_273914228170817536_50">'CCAR 9Q capital ratios'!$BI$114</definedName>
    <definedName name="_vena_CapSCUSAunadjusted_B2_R_9_273914228170817536_51">'CCAR 9Q capital ratios'!$BI$115</definedName>
    <definedName name="_vena_CapSCUSAunadjusted_B2_R_9_273914228170817536_52">'CCAR 9Q capital ratios'!$BI$116</definedName>
    <definedName name="_vena_CapSCUSAunadjusted_B2_R_9_273914228170817536_53">'CCAR 9Q capital ratios'!$BI$119</definedName>
    <definedName name="_vena_CapSCUSAunadjusted_B2_R_9_273914228170817536_54">'CCAR 9Q capital ratios'!$BI$120</definedName>
    <definedName name="_vena_CapSCUSAunadjusted_B2_R_9_273914228170817536_55">'CCAR 9Q capital ratios'!$BI$121</definedName>
    <definedName name="_vena_CapSCUSAunadjusted_B2_R_9_273914228170817536_56">'CCAR 9Q capital ratios'!$BI$122</definedName>
    <definedName name="_vena_CapSCUSAunadjusted_B2_R_9_273914228170817536_57">'CCAR 9Q capital ratios'!$BI$123</definedName>
    <definedName name="_vena_CapSCUSAunadjusted_B2_R_9_273914228170817536_58">'CCAR 9Q capital ratios'!$BI$126</definedName>
    <definedName name="_vena_CapSCUSAunadjusted_B2_R_9_273914228170817536_59">'CCAR 9Q capital ratios'!$BI$127</definedName>
    <definedName name="_vena_CapSCUSAunadjusted_B2_R_9_273914228170817536_6">'CCAR 9Q capital ratios'!$BI$48</definedName>
    <definedName name="_vena_CapSCUSAunadjusted_B2_R_9_273914228170817536_60">'CCAR 9Q capital ratios'!$BI$128</definedName>
    <definedName name="_vena_CapSCUSAunadjusted_B2_R_9_273914228170817536_61">'CCAR 9Q capital ratios'!$BI$129</definedName>
    <definedName name="_vena_CapSCUSAunadjusted_B2_R_9_273914228170817536_62">'CCAR 9Q capital ratios'!$BI$132</definedName>
    <definedName name="_vena_CapSCUSAunadjusted_B2_R_9_273914228170817536_63">'CCAR 9Q capital ratios'!$BI$133</definedName>
    <definedName name="_vena_CapSCUSAunadjusted_B2_R_9_273914228170817536_64">'CCAR 9Q capital ratios'!$BI$134</definedName>
    <definedName name="_vena_CapSCUSAunadjusted_B2_R_9_273914228170817536_65">'CCAR 9Q capital ratios'!$BI$135</definedName>
    <definedName name="_vena_CapSCUSAunadjusted_B2_R_9_273914228170817536_66">'CCAR 9Q capital ratios'!$BI$136</definedName>
    <definedName name="_vena_CapSCUSAunadjusted_B2_R_9_273914228170817536_67">'CCAR 9Q capital ratios'!$BI$137</definedName>
    <definedName name="_vena_CapSCUSAunadjusted_B2_R_9_273914228170817536_68">'CCAR 9Q capital ratios'!$BI$138</definedName>
    <definedName name="_vena_CapSCUSAunadjusted_B2_R_9_273914228170817536_69">'CCAR 9Q capital ratios'!$BI$140</definedName>
    <definedName name="_vena_CapSCUSAunadjusted_B2_R_9_273914228170817536_7">'CCAR 9Q capital ratios'!$BI$49</definedName>
    <definedName name="_vena_CapSCUSAunadjusted_B2_R_9_273914228170817536_70">'CCAR 9Q capital ratios'!$BI$141</definedName>
    <definedName name="_vena_CapSCUSAunadjusted_B2_R_9_273914228170817536_71">'CCAR 9Q capital ratios'!$BI$142</definedName>
    <definedName name="_vena_CapSCUSAunadjusted_B2_R_9_273914228170817536_72">'CCAR 9Q capital ratios'!$BI$143</definedName>
    <definedName name="_vena_CapSCUSAunadjusted_B2_R_9_273914228170817536_73">'CCAR 9Q capital ratios'!$BI$144</definedName>
    <definedName name="_vena_CapSCUSAunadjusted_B2_R_9_273914228170817536_74">'CCAR 9Q capital ratios'!$BI$145</definedName>
    <definedName name="_vena_CapSCUSAunadjusted_B2_R_9_273914228170817536_75">'CCAR 9Q capital ratios'!$BI$146</definedName>
    <definedName name="_vena_CapSCUSAunadjusted_B2_R_9_273914228170817536_8">'CCAR 9Q capital ratios'!$BI$51</definedName>
    <definedName name="_vena_CapSCUSAunadjusted_B2_R_9_273914228170817536_9">'CCAR 9Q capital ratios'!$BI$52</definedName>
    <definedName name="_vena_CapSCUSAunadjusted_P_7_230871350242312192" comment="*">'CCAR 9Q capital ratios'!$E$5</definedName>
    <definedName name="_vena_CapSCUSAunadjusted_P_8_230873481838067712" comment="*">'CCAR 9Q capital ratios'!$E$4</definedName>
    <definedName name="_vena_UserSelectCapitalSCUSAunadjusted_P_5_245735857808605184" comment="*">'CCAR 9Q capital ratios'!$E$2</definedName>
    <definedName name="_xlnm.Print_Area" localSheetId="2">'CCAR 9Q capital ratios'!$C$7:$BH$146</definedName>
    <definedName name="_xlnm.Print_Area" localSheetId="0">'Current metric'!$A$1:$K$18</definedName>
    <definedName name="_xlnm.Print_Area" localSheetId="1">'New metric'!$A$1:$K$16</definedName>
    <definedName name="_xlnm.Print_Titles" localSheetId="2">'CCAR 9Q capital ratios'!$C:$J,'CCAR 9Q capital ratios'!$7:$10</definedName>
    <definedName name="scenario">'[3]Summary Submission Cover Sheet'!$B$20</definedName>
    <definedName name="scenario_adverse">'[3]Summary Submission Cover Sheet'!$A$30</definedName>
    <definedName name="scenario_baseline">'[3]Summary Submission Cover Sheet'!$A$29</definedName>
    <definedName name="scenario_severe">'[3]Summary Submission Cover Sheet'!$A$31</definedName>
  </definedNames>
  <calcPr calcId="1456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U15" i="33" l="1"/>
  <c r="I15" i="33"/>
  <c r="E15" i="33"/>
  <c r="Q12" i="33"/>
  <c r="M12" i="33"/>
  <c r="I12" i="33"/>
  <c r="E12" i="33"/>
  <c r="Q11" i="33"/>
  <c r="M11" i="33"/>
  <c r="I11" i="33"/>
  <c r="E11" i="33"/>
  <c r="Q9" i="33"/>
  <c r="M9" i="33"/>
  <c r="I9" i="33"/>
  <c r="E9" i="33"/>
  <c r="T8" i="33"/>
  <c r="T10" i="33" s="1"/>
  <c r="T13" i="33" s="1"/>
  <c r="P8" i="33"/>
  <c r="P10" i="33" s="1"/>
  <c r="P13" i="33" s="1"/>
  <c r="O8" i="33"/>
  <c r="O10" i="33" s="1"/>
  <c r="O13" i="33" s="1"/>
  <c r="L8" i="33"/>
  <c r="L10" i="33" s="1"/>
  <c r="K8" i="33"/>
  <c r="K10" i="33" s="1"/>
  <c r="K13" i="33" s="1"/>
  <c r="H8" i="33"/>
  <c r="H10" i="33" s="1"/>
  <c r="H13" i="33" s="1"/>
  <c r="G8" i="33"/>
  <c r="G10" i="33" s="1"/>
  <c r="G13" i="33" s="1"/>
  <c r="D8" i="33"/>
  <c r="D10" i="33" s="1"/>
  <c r="C8" i="33"/>
  <c r="C10" i="33" s="1"/>
  <c r="C13" i="33" s="1"/>
  <c r="Q7" i="33"/>
  <c r="M7" i="33"/>
  <c r="I7" i="33"/>
  <c r="E7" i="33"/>
  <c r="Q6" i="33"/>
  <c r="M6" i="33"/>
  <c r="I6" i="33"/>
  <c r="E6" i="33"/>
  <c r="Q5" i="33"/>
  <c r="M5" i="33"/>
  <c r="I5" i="33"/>
  <c r="E5" i="33"/>
  <c r="Q13" i="33" l="1"/>
  <c r="Q8" i="33"/>
  <c r="E10" i="33"/>
  <c r="D13" i="33"/>
  <c r="E13" i="33" s="1"/>
  <c r="L13" i="33"/>
  <c r="M13" i="33" s="1"/>
  <c r="M10" i="33"/>
  <c r="I13" i="33"/>
  <c r="I8" i="33"/>
  <c r="E8" i="33"/>
  <c r="I10" i="33"/>
  <c r="M8" i="33"/>
  <c r="Q10" i="33"/>
  <c r="E32" i="32" l="1"/>
  <c r="BG32" i="32" s="1"/>
  <c r="U8" i="32"/>
  <c r="D8" i="32"/>
  <c r="AE8" i="32" s="1"/>
  <c r="BG7" i="32"/>
  <c r="AY7" i="32"/>
  <c r="AW7" i="32"/>
  <c r="AM7" i="32"/>
  <c r="AE7" i="32"/>
  <c r="AC7" i="32"/>
  <c r="S7" i="32"/>
  <c r="K7" i="32"/>
  <c r="I7" i="32"/>
  <c r="D7" i="32"/>
  <c r="AO7" i="32" s="1"/>
  <c r="BG2" i="32"/>
  <c r="BF2" i="32"/>
  <c r="BE2" i="32"/>
  <c r="BD2" i="32"/>
  <c r="BC2" i="32"/>
  <c r="BB2" i="32"/>
  <c r="BA2" i="32"/>
  <c r="AZ2" i="32"/>
  <c r="AY2" i="32"/>
  <c r="AW2" i="32"/>
  <c r="AV2" i="32"/>
  <c r="AU2" i="32"/>
  <c r="AT2" i="32"/>
  <c r="AS2" i="32"/>
  <c r="AR2" i="32"/>
  <c r="AQ2" i="32"/>
  <c r="AP2" i="32"/>
  <c r="AO2" i="32"/>
  <c r="AM2" i="32"/>
  <c r="AL2" i="32"/>
  <c r="AK2" i="32"/>
  <c r="AJ2" i="32"/>
  <c r="AI2" i="32"/>
  <c r="AH2" i="32"/>
  <c r="AG2" i="32"/>
  <c r="AF2" i="32"/>
  <c r="AE2" i="32"/>
  <c r="AC2" i="32"/>
  <c r="AB2" i="32"/>
  <c r="AA2" i="32"/>
  <c r="Z2" i="32"/>
  <c r="Y2" i="32"/>
  <c r="X2" i="32"/>
  <c r="W2" i="32"/>
  <c r="V2" i="32"/>
  <c r="U2" i="32"/>
  <c r="S2" i="32"/>
  <c r="R2" i="32"/>
  <c r="Q2" i="32"/>
  <c r="P2" i="32"/>
  <c r="O2" i="32"/>
  <c r="N2" i="32"/>
  <c r="M2" i="32"/>
  <c r="L2" i="32"/>
  <c r="K2" i="32"/>
  <c r="I2" i="32"/>
  <c r="H2" i="32"/>
  <c r="G2" i="32"/>
  <c r="F2" i="32"/>
  <c r="U7" i="32" l="1"/>
  <c r="AO8" i="32"/>
  <c r="G32" i="32"/>
  <c r="L32" i="32"/>
  <c r="P32" i="32"/>
  <c r="U32" i="32"/>
  <c r="Y32" i="32"/>
  <c r="AC32" i="32"/>
  <c r="AH32" i="32"/>
  <c r="AL32" i="32"/>
  <c r="AQ32" i="32"/>
  <c r="AU32" i="32"/>
  <c r="AZ32" i="32"/>
  <c r="BD32" i="32"/>
  <c r="K8" i="32"/>
  <c r="AY8" i="32"/>
  <c r="H32" i="32"/>
  <c r="M32" i="32"/>
  <c r="Q32" i="32"/>
  <c r="V32" i="32"/>
  <c r="Z32" i="32"/>
  <c r="AE32" i="32"/>
  <c r="AI32" i="32"/>
  <c r="AM32" i="32"/>
  <c r="AR32" i="32"/>
  <c r="AV32" i="32"/>
  <c r="BA32" i="32"/>
  <c r="BE32" i="32"/>
  <c r="I32" i="32"/>
  <c r="N32" i="32"/>
  <c r="R32" i="32"/>
  <c r="W32" i="32"/>
  <c r="AA32" i="32"/>
  <c r="AF32" i="32"/>
  <c r="AJ32" i="32"/>
  <c r="AO32" i="32"/>
  <c r="AS32" i="32"/>
  <c r="AW32" i="32"/>
  <c r="BB32" i="32"/>
  <c r="BF32" i="32"/>
  <c r="F32" i="32"/>
  <c r="K32" i="32"/>
  <c r="O32" i="32"/>
  <c r="S32" i="32"/>
  <c r="X32" i="32"/>
  <c r="AB32" i="32"/>
  <c r="AG32" i="32"/>
  <c r="AK32" i="32"/>
  <c r="AP32" i="32"/>
  <c r="AT32" i="32"/>
  <c r="AY32" i="32"/>
  <c r="BC32" i="32"/>
  <c r="E352" i="31"/>
  <c r="D345" i="31"/>
  <c r="C345" i="31"/>
  <c r="F343" i="31"/>
  <c r="E342" i="31"/>
  <c r="E345" i="31" s="1"/>
  <c r="F341" i="31"/>
  <c r="E340" i="31"/>
  <c r="F339" i="31"/>
  <c r="F338" i="31"/>
  <c r="F336" i="31"/>
  <c r="F335" i="31"/>
  <c r="F334" i="31"/>
  <c r="F345" i="31" s="1"/>
  <c r="E329" i="31"/>
  <c r="P326" i="31"/>
  <c r="Q326" i="31" s="1"/>
  <c r="R326" i="31" s="1"/>
  <c r="S326" i="31" s="1"/>
  <c r="T326" i="31" s="1"/>
  <c r="K325" i="31"/>
  <c r="L325" i="31" s="1"/>
  <c r="M325" i="31" s="1"/>
  <c r="N325" i="31" s="1"/>
  <c r="O325" i="31" s="1"/>
  <c r="P325" i="31" s="1"/>
  <c r="Q325" i="31" s="1"/>
  <c r="R325" i="31" s="1"/>
  <c r="S325" i="31" s="1"/>
  <c r="T325" i="31" s="1"/>
  <c r="E325" i="31"/>
  <c r="K323" i="31"/>
  <c r="J323" i="31"/>
  <c r="E318" i="31"/>
  <c r="D311" i="31"/>
  <c r="C311" i="31"/>
  <c r="E310" i="31"/>
  <c r="F309" i="31"/>
  <c r="E308" i="31"/>
  <c r="E307" i="31"/>
  <c r="E306" i="31"/>
  <c r="F304" i="31"/>
  <c r="F303" i="31"/>
  <c r="F302" i="31"/>
  <c r="F301" i="31"/>
  <c r="F300" i="31"/>
  <c r="E296" i="31"/>
  <c r="F289" i="31"/>
  <c r="E289" i="31"/>
  <c r="D289" i="31"/>
  <c r="C289" i="31"/>
  <c r="E274" i="31"/>
  <c r="D267" i="31"/>
  <c r="C267" i="31"/>
  <c r="E266" i="31"/>
  <c r="E265" i="31"/>
  <c r="E264" i="31"/>
  <c r="E263" i="31"/>
  <c r="E262" i="31"/>
  <c r="E261" i="31"/>
  <c r="E267" i="31" s="1"/>
  <c r="F260" i="31"/>
  <c r="F259" i="31"/>
  <c r="F258" i="31"/>
  <c r="F256" i="31"/>
  <c r="E252" i="31"/>
  <c r="D245" i="31"/>
  <c r="C245" i="31"/>
  <c r="F244" i="31"/>
  <c r="F243" i="31"/>
  <c r="E243" i="31"/>
  <c r="F242" i="31"/>
  <c r="F245" i="31" s="1"/>
  <c r="E242" i="31"/>
  <c r="E241" i="31"/>
  <c r="E240" i="31"/>
  <c r="E245" i="31" s="1"/>
  <c r="E239" i="31"/>
  <c r="E230" i="31"/>
  <c r="D223" i="31"/>
  <c r="C223" i="31"/>
  <c r="F222" i="31"/>
  <c r="E221" i="31"/>
  <c r="F220" i="31"/>
  <c r="E220" i="31"/>
  <c r="E219" i="31"/>
  <c r="E218" i="31"/>
  <c r="E217" i="31"/>
  <c r="F216" i="31"/>
  <c r="F215" i="31"/>
  <c r="F214" i="31"/>
  <c r="F213" i="31"/>
  <c r="F212" i="31"/>
  <c r="E208" i="31"/>
  <c r="F201" i="31"/>
  <c r="D201" i="31"/>
  <c r="C201" i="31"/>
  <c r="E199" i="31"/>
  <c r="E198" i="31"/>
  <c r="E197" i="31"/>
  <c r="E196" i="31"/>
  <c r="E195" i="31"/>
  <c r="E201" i="31" s="1"/>
  <c r="E186" i="31"/>
  <c r="F179" i="31"/>
  <c r="D179" i="31"/>
  <c r="C179" i="31"/>
  <c r="E176" i="31"/>
  <c r="E175" i="31"/>
  <c r="E174" i="31"/>
  <c r="E164" i="31"/>
  <c r="D157" i="31"/>
  <c r="C157" i="31"/>
  <c r="F155" i="31"/>
  <c r="F157" i="31" s="1"/>
  <c r="E155" i="31"/>
  <c r="E154" i="31"/>
  <c r="E157" i="31" s="1"/>
  <c r="E153" i="31"/>
  <c r="E152" i="31"/>
  <c r="E142" i="31"/>
  <c r="F135" i="31"/>
  <c r="D135" i="31"/>
  <c r="C135" i="31"/>
  <c r="E132" i="31"/>
  <c r="E131" i="31"/>
  <c r="E130" i="31"/>
  <c r="E135" i="31" s="1"/>
  <c r="E120" i="31"/>
  <c r="F113" i="31"/>
  <c r="D113" i="31"/>
  <c r="C113" i="31"/>
  <c r="E110" i="31"/>
  <c r="E109" i="31"/>
  <c r="E108" i="31"/>
  <c r="E113" i="31" s="1"/>
  <c r="E98" i="31"/>
  <c r="F91" i="31"/>
  <c r="D91" i="31"/>
  <c r="C91" i="31"/>
  <c r="E88" i="31"/>
  <c r="E87" i="31"/>
  <c r="E86" i="31"/>
  <c r="E91" i="31" s="1"/>
  <c r="E76" i="31"/>
  <c r="F69" i="31"/>
  <c r="D69" i="31"/>
  <c r="C69" i="31"/>
  <c r="E66" i="31"/>
  <c r="E65" i="31"/>
  <c r="E64" i="31"/>
  <c r="E69" i="31" s="1"/>
  <c r="E54" i="31"/>
  <c r="F47" i="31"/>
  <c r="D47" i="31"/>
  <c r="C47" i="31"/>
  <c r="E44" i="31"/>
  <c r="E43" i="31"/>
  <c r="E42" i="31"/>
  <c r="E47" i="31" s="1"/>
  <c r="E32" i="31"/>
  <c r="F25" i="31"/>
  <c r="D25" i="31"/>
  <c r="C25" i="31"/>
  <c r="E25" i="31"/>
  <c r="V9" i="31"/>
  <c r="U9" i="31"/>
  <c r="R9" i="31"/>
  <c r="Q9" i="31"/>
  <c r="N9" i="31"/>
  <c r="M9" i="31"/>
  <c r="T9" i="31"/>
  <c r="S9" i="31"/>
  <c r="P9" i="31"/>
  <c r="O9" i="31"/>
  <c r="L9" i="31"/>
  <c r="K9" i="31"/>
  <c r="V5" i="31"/>
  <c r="U5" i="31"/>
  <c r="T5" i="31"/>
  <c r="S5" i="31"/>
  <c r="R5" i="31"/>
  <c r="P5" i="31"/>
  <c r="O5" i="31"/>
  <c r="N5" i="31"/>
  <c r="L5" i="31"/>
  <c r="K5" i="31"/>
  <c r="E350" i="31" l="1"/>
  <c r="E353" i="31" s="1"/>
  <c r="E347" i="31"/>
  <c r="E223" i="31"/>
  <c r="F223" i="31" s="1"/>
  <c r="E250" i="31"/>
  <c r="E253" i="31" s="1"/>
  <c r="E247" i="31"/>
  <c r="M5" i="31"/>
  <c r="Q5" i="31"/>
  <c r="E30" i="31"/>
  <c r="E33" i="31" s="1"/>
  <c r="E27" i="31"/>
  <c r="E52" i="31"/>
  <c r="E55" i="31" s="1"/>
  <c r="E74" i="31"/>
  <c r="E77" i="31" s="1"/>
  <c r="E71" i="31"/>
  <c r="E96" i="31"/>
  <c r="E99" i="31" s="1"/>
  <c r="E118" i="31"/>
  <c r="E121" i="31" s="1"/>
  <c r="E115" i="31"/>
  <c r="E140" i="31"/>
  <c r="E143" i="31" s="1"/>
  <c r="E179" i="31"/>
  <c r="F311" i="31"/>
  <c r="L323" i="31"/>
  <c r="E162" i="31"/>
  <c r="E165" i="31" s="1"/>
  <c r="E159" i="31"/>
  <c r="E203" i="31"/>
  <c r="E206" i="31"/>
  <c r="E209" i="31" s="1"/>
  <c r="E184" i="31"/>
  <c r="E187" i="31" s="1"/>
  <c r="E181" i="31"/>
  <c r="F267" i="31"/>
  <c r="E294" i="31"/>
  <c r="E297" i="31" s="1"/>
  <c r="E311" i="31"/>
  <c r="E49" i="31"/>
  <c r="E93" i="31"/>
  <c r="E137" i="31"/>
  <c r="E291" i="31"/>
  <c r="G347" i="31" l="1"/>
  <c r="G348" i="31" s="1"/>
  <c r="E349" i="31"/>
  <c r="E228" i="31"/>
  <c r="E231" i="31" s="1"/>
  <c r="E225" i="31"/>
  <c r="E51" i="31"/>
  <c r="G49" i="31"/>
  <c r="G50" i="31" s="1"/>
  <c r="E161" i="31"/>
  <c r="G159" i="31"/>
  <c r="G160" i="31" s="1"/>
  <c r="E249" i="31"/>
  <c r="G247" i="31"/>
  <c r="G248" i="31" s="1"/>
  <c r="G181" i="31"/>
  <c r="G182" i="31" s="1"/>
  <c r="E183" i="31"/>
  <c r="E324" i="31"/>
  <c r="E327" i="31"/>
  <c r="E330" i="31" s="1"/>
  <c r="E316" i="31"/>
  <c r="E313" i="31"/>
  <c r="E293" i="31"/>
  <c r="G291" i="31"/>
  <c r="G292" i="31" s="1"/>
  <c r="G27" i="31"/>
  <c r="G28" i="31" s="1"/>
  <c r="E29" i="31"/>
  <c r="E139" i="31"/>
  <c r="G137" i="31"/>
  <c r="G138" i="31" s="1"/>
  <c r="M323" i="31"/>
  <c r="G71" i="31"/>
  <c r="G72" i="31" s="1"/>
  <c r="E73" i="31"/>
  <c r="E95" i="31"/>
  <c r="G93" i="31"/>
  <c r="G94" i="31" s="1"/>
  <c r="E272" i="31"/>
  <c r="E275" i="31" s="1"/>
  <c r="E269" i="31"/>
  <c r="G203" i="31"/>
  <c r="G204" i="31" s="1"/>
  <c r="E205" i="31"/>
  <c r="G115" i="31"/>
  <c r="G116" i="31" s="1"/>
  <c r="E117" i="31"/>
  <c r="E315" i="31" l="1"/>
  <c r="G313" i="31"/>
  <c r="G314" i="31" s="1"/>
  <c r="E227" i="31"/>
  <c r="G225" i="31"/>
  <c r="G226" i="31" s="1"/>
  <c r="N323" i="31"/>
  <c r="E319" i="31"/>
  <c r="J324" i="31"/>
  <c r="E271" i="31"/>
  <c r="G269" i="31"/>
  <c r="G270" i="31" s="1"/>
  <c r="E326" i="31"/>
  <c r="G324" i="31"/>
  <c r="G325" i="31" s="1"/>
  <c r="O323" i="31" l="1"/>
  <c r="J328" i="31"/>
  <c r="L324" i="31"/>
  <c r="K324" i="31"/>
  <c r="J329" i="31"/>
  <c r="P323" i="31" l="1"/>
  <c r="L328" i="31"/>
  <c r="L329" i="31"/>
  <c r="M324" i="31"/>
  <c r="K328" i="31"/>
  <c r="K329" i="31"/>
  <c r="Q323" i="31" l="1"/>
  <c r="M328" i="31"/>
  <c r="M329" i="31"/>
  <c r="N324" i="31"/>
  <c r="R323" i="31" l="1"/>
  <c r="N328" i="31"/>
  <c r="N329" i="31"/>
  <c r="O324" i="31"/>
  <c r="O328" i="31" l="1"/>
  <c r="O329" i="31"/>
  <c r="Q324" i="31"/>
  <c r="R329" i="31"/>
  <c r="S323" i="31"/>
  <c r="P324" i="31"/>
  <c r="R324" i="31"/>
  <c r="R328" i="31" s="1"/>
  <c r="Q328" i="31" l="1"/>
  <c r="Q329" i="31"/>
  <c r="P328" i="31"/>
  <c r="P329" i="31"/>
  <c r="T324" i="31"/>
  <c r="T328" i="31" s="1"/>
  <c r="S329" i="31"/>
  <c r="T323" i="31"/>
  <c r="S324" i="31"/>
  <c r="S328" i="31" s="1"/>
  <c r="T329" i="31" l="1"/>
  <c r="G32" i="27" l="1"/>
  <c r="H32" i="27"/>
  <c r="I32" i="27"/>
  <c r="J32" i="27"/>
  <c r="K32" i="27"/>
  <c r="L32" i="27"/>
  <c r="M32" i="27"/>
  <c r="N32" i="27"/>
  <c r="O32" i="27"/>
  <c r="P32" i="27"/>
  <c r="Q32" i="27"/>
  <c r="R32" i="27"/>
  <c r="S32" i="27"/>
  <c r="T32" i="27"/>
  <c r="G33" i="27"/>
  <c r="H33" i="27"/>
  <c r="I33" i="27"/>
  <c r="J33" i="27"/>
  <c r="K33" i="27"/>
  <c r="L33" i="27"/>
  <c r="M33" i="27"/>
  <c r="N33" i="27"/>
  <c r="O33" i="27"/>
  <c r="P33" i="27"/>
  <c r="Q33" i="27"/>
  <c r="R33" i="27"/>
  <c r="S33" i="27"/>
  <c r="T33" i="27"/>
  <c r="F33" i="27"/>
  <c r="F32" i="27"/>
  <c r="H34" i="17" l="1"/>
  <c r="I34" i="17"/>
  <c r="J34" i="17"/>
  <c r="K34" i="17"/>
  <c r="L34" i="17"/>
  <c r="M34" i="17"/>
  <c r="N34" i="17"/>
  <c r="O34" i="17"/>
  <c r="P34" i="17"/>
  <c r="Q34" i="17"/>
  <c r="R34" i="17"/>
  <c r="S34" i="17"/>
  <c r="T34" i="17"/>
  <c r="U34" i="17"/>
  <c r="G34" i="17"/>
  <c r="H33" i="17"/>
  <c r="I33" i="17"/>
  <c r="J33" i="17"/>
  <c r="K33" i="17"/>
  <c r="L33" i="17"/>
  <c r="M33" i="17"/>
  <c r="N33" i="17"/>
  <c r="O33" i="17"/>
  <c r="P33" i="17"/>
  <c r="Q33" i="17"/>
  <c r="R33" i="17"/>
  <c r="S33" i="17"/>
  <c r="T33" i="17"/>
  <c r="U33" i="17"/>
  <c r="G33" i="17"/>
  <c r="H38" i="14"/>
  <c r="I38" i="14"/>
  <c r="J38" i="14"/>
  <c r="K38" i="14"/>
  <c r="L38" i="14"/>
  <c r="M38" i="14"/>
  <c r="N38" i="14"/>
  <c r="O38" i="14"/>
  <c r="P38" i="14"/>
  <c r="Q38" i="14"/>
  <c r="R38" i="14"/>
  <c r="S38" i="14"/>
  <c r="T38" i="14"/>
  <c r="U38" i="14"/>
  <c r="G38" i="14"/>
  <c r="H37" i="14"/>
  <c r="I37" i="14"/>
  <c r="J37" i="14"/>
  <c r="K37" i="14"/>
  <c r="L37" i="14"/>
  <c r="M37" i="14"/>
  <c r="N37" i="14"/>
  <c r="O37" i="14"/>
  <c r="P37" i="14"/>
  <c r="Q37" i="14"/>
  <c r="R37" i="14"/>
  <c r="S37" i="14"/>
  <c r="T37" i="14"/>
  <c r="U37" i="14"/>
  <c r="G37" i="14"/>
  <c r="U36" i="26" l="1"/>
  <c r="T36" i="26"/>
  <c r="S36" i="26"/>
  <c r="R36" i="26"/>
  <c r="Q36" i="26"/>
  <c r="P36" i="26"/>
  <c r="O36" i="26"/>
  <c r="N36" i="26"/>
  <c r="M36" i="26"/>
  <c r="L36" i="26"/>
  <c r="K36" i="26"/>
  <c r="J36" i="26"/>
  <c r="I36" i="26"/>
  <c r="H36" i="26"/>
  <c r="G36" i="26"/>
  <c r="U35" i="26"/>
  <c r="T35" i="26"/>
  <c r="S35" i="26"/>
  <c r="R35" i="26"/>
  <c r="Q35" i="26"/>
  <c r="P35" i="26"/>
  <c r="O35" i="26"/>
  <c r="N35" i="26"/>
  <c r="M35" i="26"/>
  <c r="L35" i="26"/>
  <c r="K35" i="26"/>
  <c r="J35" i="26"/>
  <c r="I35" i="26"/>
  <c r="H35" i="26"/>
  <c r="G35" i="26"/>
  <c r="AK4" i="23" l="1"/>
  <c r="AJ4" i="23"/>
  <c r="AI4" i="23"/>
  <c r="AG4" i="23"/>
  <c r="AF4" i="23"/>
  <c r="AE4" i="23"/>
  <c r="AC4" i="23"/>
  <c r="AB4" i="23"/>
  <c r="AA4" i="23"/>
  <c r="Y4" i="23"/>
  <c r="X4" i="23"/>
  <c r="W4" i="23"/>
  <c r="U4" i="23"/>
  <c r="T4" i="23"/>
  <c r="S4" i="23"/>
  <c r="Q4" i="23"/>
  <c r="P4" i="23"/>
  <c r="O4" i="23"/>
  <c r="M4" i="23"/>
  <c r="L4" i="23"/>
  <c r="K4" i="23"/>
  <c r="I4" i="23"/>
  <c r="H4" i="23"/>
  <c r="G4" i="23"/>
  <c r="AL3" i="23"/>
  <c r="AL4" i="23" s="1"/>
  <c r="AH3" i="23"/>
  <c r="AH4" i="23" s="1"/>
  <c r="AD3" i="23"/>
  <c r="AD4" i="23" s="1"/>
  <c r="Z3" i="23"/>
  <c r="Z4" i="23" s="1"/>
  <c r="V3" i="23"/>
  <c r="V4" i="23" s="1"/>
  <c r="R3" i="23"/>
  <c r="R4" i="23" s="1"/>
  <c r="N3" i="23"/>
  <c r="N4" i="23" s="1"/>
  <c r="J3" i="23"/>
  <c r="J4" i="23" s="1"/>
</calcChain>
</file>

<file path=xl/comments1.xml><?xml version="1.0" encoding="utf-8"?>
<comments xmlns="http://schemas.openxmlformats.org/spreadsheetml/2006/main">
  <authors>
    <author>Juan C. Sanchez</author>
  </authors>
  <commentList>
    <comment ref="I5" authorId="0">
      <text>
        <r>
          <rPr>
            <b/>
            <sz val="9"/>
            <color indexed="81"/>
            <rFont val="Tahoma"/>
            <family val="2"/>
          </rPr>
          <t>Juan C. Sanchez:</t>
        </r>
        <r>
          <rPr>
            <sz val="9"/>
            <color indexed="81"/>
            <rFont val="Tahoma"/>
            <family val="2"/>
          </rPr>
          <t xml:space="preserve">
Ethical Hacking = vulnerability scannig, which is performed by InfoSec on a monthly basis.
</t>
        </r>
      </text>
    </comment>
  </commentList>
</comments>
</file>

<file path=xl/sharedStrings.xml><?xml version="1.0" encoding="utf-8"?>
<sst xmlns="http://schemas.openxmlformats.org/spreadsheetml/2006/main" count="2265" uniqueCount="759">
  <si>
    <t>Risk Stripe</t>
  </si>
  <si>
    <t>Metric</t>
  </si>
  <si>
    <t>Capital</t>
  </si>
  <si>
    <t>Credit</t>
  </si>
  <si>
    <t>Net Charge- Off Auto</t>
  </si>
  <si>
    <t>Net Charge - Off Unsecured</t>
  </si>
  <si>
    <t>61+ Auto</t>
  </si>
  <si>
    <t>61+ Unsecured</t>
  </si>
  <si>
    <t>Residual</t>
  </si>
  <si>
    <t>Net Residual Value Exposures</t>
  </si>
  <si>
    <t>Liquidity</t>
  </si>
  <si>
    <t>Structural Funding Ratio</t>
  </si>
  <si>
    <t>Available Committed Liquidity</t>
  </si>
  <si>
    <t>Market</t>
  </si>
  <si>
    <t>NII</t>
  </si>
  <si>
    <t>MVE</t>
  </si>
  <si>
    <t>Strategic</t>
  </si>
  <si>
    <t>Total RWA</t>
  </si>
  <si>
    <t>Subprime Assets as % of SHUSA Credit Exposure</t>
  </si>
  <si>
    <t>Operational</t>
  </si>
  <si>
    <t>Gross Operational Risk Losses/ Gross Margin</t>
  </si>
  <si>
    <t>Frequency of Events &gt;$200K in Losses</t>
  </si>
  <si>
    <t>Reputational</t>
  </si>
  <si>
    <t>SFO Net Charge - Off Rate</t>
  </si>
  <si>
    <t xml:space="preserve">Risk Stripe </t>
  </si>
  <si>
    <t>Total Capital Ratio</t>
  </si>
  <si>
    <t>Tier 1 Leverage Ratio</t>
  </si>
  <si>
    <t>Cost of Credit</t>
  </si>
  <si>
    <t>NPL Entries (%)</t>
  </si>
  <si>
    <t>NPL Coverage Ratio (%)</t>
  </si>
  <si>
    <t>Mark to Market</t>
  </si>
  <si>
    <t>Mark to Market Value at Risk (VaR)</t>
  </si>
  <si>
    <t>Relevant OR events R1 (number)</t>
  </si>
  <si>
    <t>P1 and P2 Incidents in Production</t>
  </si>
  <si>
    <t>% System Availability</t>
  </si>
  <si>
    <t>% Obsolete Server Software of Critical Services</t>
  </si>
  <si>
    <t>Ethical Hacking Tests</t>
  </si>
  <si>
    <t>Information Leakages</t>
  </si>
  <si>
    <t>Distributed Denial of Service (DDoS)</t>
  </si>
  <si>
    <t>Model</t>
  </si>
  <si>
    <t>Legacy Tier 1 models in production w/o appropriate approval</t>
  </si>
  <si>
    <t>Adding?</t>
  </si>
  <si>
    <t>Calculation/Definition</t>
  </si>
  <si>
    <t>Reporting Frequency</t>
  </si>
  <si>
    <t>Monthly</t>
  </si>
  <si>
    <t>Quarterly</t>
  </si>
  <si>
    <t>Amber Trigger</t>
  </si>
  <si>
    <t>Red Limit</t>
  </si>
  <si>
    <t>Rationale for Limits</t>
  </si>
  <si>
    <t>No</t>
  </si>
  <si>
    <t>New Calculation</t>
  </si>
  <si>
    <t>Rationale for Calculation Change</t>
  </si>
  <si>
    <t>Limit Change? (Y/N)</t>
  </si>
  <si>
    <t>Calculation Change?  (Y/N)</t>
  </si>
  <si>
    <t>New Amber Trigger</t>
  </si>
  <si>
    <t>New Red Limit</t>
  </si>
  <si>
    <t>Rationale for Limit Change</t>
  </si>
  <si>
    <t>Who is responsible for Limit Calibration?</t>
  </si>
  <si>
    <t>Yes</t>
  </si>
  <si>
    <t>NA</t>
  </si>
  <si>
    <t>TBD</t>
  </si>
  <si>
    <t>CET1 Ratio</t>
  </si>
  <si>
    <t>Tier 1 Risk Based Capital Ratio</t>
  </si>
  <si>
    <t>Tangible Common Equity Ratio</t>
  </si>
  <si>
    <t>Keep</t>
  </si>
  <si>
    <t>Y</t>
  </si>
  <si>
    <t>N</t>
  </si>
  <si>
    <t>Current metric does not include material operational risk events that do not have an economic impact such as regulatory, customer and reputational impacts, therefore; it does not give the full picture of events impacting SHUSA and its customers. In the absence of a full complement of operational risk identification mechanisms this program helps to understand were operational issues are occuring and translating into material impacts.</t>
  </si>
  <si>
    <t>Updated Limits RAS document</t>
  </si>
  <si>
    <t>Updated Metric Inventory RAS document</t>
  </si>
  <si>
    <t>Updated in Risk Appetite Escalation, Monitoring, and Reporting document</t>
  </si>
  <si>
    <t>Additional SC Proposed?</t>
  </si>
  <si>
    <t>Rationale for Adding/Removal</t>
  </si>
  <si>
    <t>Not measurable at this time.</t>
  </si>
  <si>
    <t>Considered to be a good metric, however; including this as a standalone metric would not represent to the Board and senior management an accurate depiction of the environment.</t>
  </si>
  <si>
    <t>Considered to be a good metric, however; data supporting this metric, including inconsistant defintion and measurement approach, is unreliable at this time and would not represent to the Board and senior management an accurate depiction of the environment.</t>
  </si>
  <si>
    <t>Considered to be a good metric, however; the program is immature and is not comprehensive enough to generate robust and reliable data  that would represent to the Board and senior management an accurate  depiction of the environment.</t>
  </si>
  <si>
    <t>OW</t>
  </si>
  <si>
    <t>SHUSA &amp; SC</t>
  </si>
  <si>
    <t>Updated in RAF</t>
  </si>
  <si>
    <t>Monitoring Only</t>
  </si>
  <si>
    <t>Per SHUSA - The monitoring of these metrics is at the direction of the ECB to the Group Risk Function, who has then directed that these be included in the local RASs</t>
  </si>
  <si>
    <t>Ratio of cumulative net provisions for the last 12 months to the average balance of the loan portfolio over the last 12 months.</t>
  </si>
  <si>
    <t xml:space="preserve">Ratio of SC’s ALLL provisions to non-performing loan balance. NPLs are defined as nonaccrual loans (61+ DPD for auto and 90+ DPD for unsecured).
</t>
  </si>
  <si>
    <t>Regulatory requirement.  Aligns with SHUSA RAS.  Also in response to SHUSA MRA.</t>
  </si>
  <si>
    <t>Number of SC Tier 1 Legacy models in production without validation less than or equal to threshold at the end of Quarter.</t>
  </si>
  <si>
    <t>N/A (This metric can only be green or red).</t>
  </si>
  <si>
    <t>Q1: &gt; 25 models
Q2: &gt;18 models
Q3: &gt; 13 models
Q4: &gt; 8 models</t>
  </si>
  <si>
    <t>% Confirmed Fraud ($) of  Total Loan Originations ($)</t>
  </si>
  <si>
    <t>$ amount of confirmed fraud for the period divided by the $ amount of total loan originations (based on a 12-month'rolling average)</t>
  </si>
  <si>
    <t>SHUSA ORM working with Corporate to better understand applicability.  Currently on hold pending final Corporate directive.  SHUSA recommends removing</t>
  </si>
  <si>
    <t>Limits will change based upon the new SHUSA Operational Risk Event Escalation thresholds approved 4/20/2016.  SHUSA ORM team is reviewing trend data for all entities and is in the process of creating proposed thresholds for all entities.</t>
  </si>
  <si>
    <t>2016 Status</t>
  </si>
  <si>
    <t>Rationale for Status Change</t>
  </si>
  <si>
    <t>SC</t>
  </si>
  <si>
    <t>OW Calibration</t>
  </si>
  <si>
    <t>To align with SC Capital Policy.</t>
  </si>
  <si>
    <t>Ratio of Tier 1 Risk Based Capital to Adjusted Average Assets.</t>
  </si>
  <si>
    <t>Highly Correlated with TCE/TA ratio as most variables are common</t>
  </si>
  <si>
    <t>The mark to market VaR metric covers the market risk in all of SC’s economic hedges.  This metric indicates the maximum loss that SC expects to incur on its derivative portfolio at a 99% confidence level.</t>
  </si>
  <si>
    <t xml:space="preserve">Measures the concentration of significant operational risk events. </t>
  </si>
  <si>
    <t xml:space="preserve">Number of Priority 1 and Priority 2 incidents in production.
</t>
  </si>
  <si>
    <t xml:space="preserve">Weighted average of percentage availability of each of the services identified as critical by SC.
</t>
  </si>
  <si>
    <t xml:space="preserve">Percentage of obsolete server software of critical services.
</t>
  </si>
  <si>
    <t xml:space="preserve">Number of high-risk vulnerabilities detected that have been awaiting corrections for more than 3 months.
</t>
  </si>
  <si>
    <t xml:space="preserve">Number of security incidents with customer data leaks.
</t>
  </si>
  <si>
    <t xml:space="preserve">Number of DDoS-related security incidents.
</t>
  </si>
  <si>
    <t>Remove</t>
  </si>
  <si>
    <t>SC's T1RBC and CET1 ratio results are the same as SC doesn't have noncumulative perpetual perferred stock.</t>
  </si>
  <si>
    <t>Unsecured portfolio is HFS. Will be sold in July.</t>
  </si>
  <si>
    <t>The number of material operational risk events (as Defined by the SHUSA Operational Risk Event Escalation Standard)</t>
  </si>
  <si>
    <t>Review of actual performance over the past 15 months and recommendations of the Business Owners and CORO, based upon anticipated future performance and risk appetite based upon levels of loan originations</t>
  </si>
  <si>
    <t>Current approved validation timeline.</t>
  </si>
  <si>
    <t>Total Shareholder's Equity – (Intangibles + Goodwill + Preferred Stock Equity)</t>
  </si>
  <si>
    <t>Numerator</t>
  </si>
  <si>
    <t>Total Assets – (Goodwill + Intangibles)</t>
  </si>
  <si>
    <t>Denominator</t>
  </si>
  <si>
    <t>Floor</t>
  </si>
  <si>
    <t>AMBER TRIGGER</t>
  </si>
  <si>
    <t>RED LIMIT</t>
  </si>
  <si>
    <t>LIMIT TYPE</t>
  </si>
  <si>
    <t>SC RISK APPETITE METRICS</t>
  </si>
  <si>
    <t>INPUTS FOR METRICS</t>
  </si>
  <si>
    <t>Limits for Graph</t>
  </si>
  <si>
    <t>Net Residual Value Exposure</t>
  </si>
  <si>
    <t>Ceiling</t>
  </si>
  <si>
    <r>
      <rPr>
        <b/>
        <sz val="9"/>
        <color rgb="FF000000"/>
        <rFont val="Calibri"/>
        <family val="2"/>
        <scheme val="minor"/>
      </rPr>
      <t>Net Residual Risk Exposure</t>
    </r>
    <r>
      <rPr>
        <sz val="9"/>
        <color rgb="FF000000"/>
        <rFont val="Calibri"/>
        <family val="2"/>
        <scheme val="minor"/>
      </rPr>
      <t xml:space="preserve"> = Forecast Residual (3-month smoothed average) - Contract Residual - Incentives and Tax</t>
    </r>
  </si>
  <si>
    <r>
      <rPr>
        <b/>
        <sz val="9"/>
        <color rgb="FF000000"/>
        <rFont val="Calibri"/>
        <family val="2"/>
        <scheme val="minor"/>
      </rPr>
      <t>CRLIT</t>
    </r>
    <r>
      <rPr>
        <sz val="9"/>
        <color rgb="FF000000"/>
        <rFont val="Calibri"/>
        <family val="2"/>
        <scheme val="minor"/>
      </rPr>
      <t xml:space="preserve"> = Total Portfolio Contract Residual less Incentives and Tax</t>
    </r>
  </si>
  <si>
    <t>Available Committed Liquidity = Warehouse Loans + BSNY</t>
  </si>
  <si>
    <t>Available Committed Liquidity / Average Projected Net Originations (in Months)</t>
  </si>
  <si>
    <r>
      <rPr>
        <b/>
        <sz val="9"/>
        <color rgb="FF000000"/>
        <rFont val="Calibri"/>
        <family val="2"/>
        <scheme val="minor"/>
      </rPr>
      <t>Structural Funding</t>
    </r>
    <r>
      <rPr>
        <sz val="9"/>
        <color rgb="FF000000"/>
        <rFont val="Calibri"/>
        <family val="2"/>
        <scheme val="minor"/>
      </rPr>
      <t xml:space="preserve"> = (Warehouse Funding + Outstanding Securitizations + Equity)*
* Greater than 1 Year</t>
    </r>
  </si>
  <si>
    <r>
      <rPr>
        <b/>
        <sz val="9"/>
        <color rgb="FF000000"/>
        <rFont val="Calibri"/>
        <family val="2"/>
        <scheme val="minor"/>
      </rPr>
      <t>Structural Needs</t>
    </r>
    <r>
      <rPr>
        <sz val="9"/>
        <color rgb="FF000000"/>
        <rFont val="Calibri"/>
        <family val="2"/>
        <scheme val="minor"/>
      </rPr>
      <t xml:space="preserve"> = (Loans + Leases + Restricted Cash + Other Assets)</t>
    </r>
  </si>
  <si>
    <r>
      <t>Average Projected Net Originations</t>
    </r>
    <r>
      <rPr>
        <b/>
        <sz val="9"/>
        <color rgb="FF000000"/>
        <rFont val="Calibri"/>
        <family val="2"/>
        <scheme val="minor"/>
      </rPr>
      <t xml:space="preserve"> </t>
    </r>
    <r>
      <rPr>
        <sz val="9"/>
        <color rgb="FF000000"/>
        <rFont val="Calibri"/>
        <family val="2"/>
        <scheme val="minor"/>
      </rPr>
      <t>(6 months projected monthly funding needs) = Aggregate Monthly Originations - Pay downs - Subventions/Discounts - Flow Agreements</t>
    </r>
  </si>
  <si>
    <t>Net Interest Income Sensitivity (+/- 100bps shock)</t>
  </si>
  <si>
    <t>Input Value in millions</t>
  </si>
  <si>
    <t>NII (+/- 100bps shock)</t>
  </si>
  <si>
    <t>Market Value of Equity Sensitivity (+/- 200bps shock)</t>
  </si>
  <si>
    <t>MVE (+/- 200bps shock)</t>
  </si>
  <si>
    <t>Not Available</t>
  </si>
  <si>
    <t>Risk-weighted assets before deductions for excess allowance of loan and lease losses and allocated transfer risk reserve</t>
  </si>
  <si>
    <t>Input Value in Billions</t>
  </si>
  <si>
    <t>less: Excess allowance for loan and lease losses</t>
  </si>
  <si>
    <t>less: Allocated transfer risk reserve</t>
  </si>
  <si>
    <t>Total Risk Weighted Assets (RWAs)</t>
  </si>
  <si>
    <t>Concentration of Sub-Prime SC Assets</t>
  </si>
  <si>
    <t>Total SHUSA Consolidated Assets</t>
  </si>
  <si>
    <t>Historical Limits (RWA)</t>
  </si>
  <si>
    <t>Calculation:</t>
  </si>
  <si>
    <t>(Red Limit less 2BN)</t>
  </si>
  <si>
    <t>(Prior Month CET1/11%)</t>
  </si>
  <si>
    <t>Q1 - 2015</t>
  </si>
  <si>
    <t>Q2 - 2015</t>
  </si>
  <si>
    <t>Q3 - 2015</t>
  </si>
  <si>
    <t>Q4 - 2015</t>
  </si>
  <si>
    <t>Q1 - 2016</t>
  </si>
  <si>
    <t>Q2 - 2016</t>
  </si>
  <si>
    <t>Q3 - 2016</t>
  </si>
  <si>
    <t>Q4 - 2016</t>
  </si>
  <si>
    <t>Gross Operational Risk Losses</t>
  </si>
  <si>
    <t>Adjusted Interest Income</t>
  </si>
  <si>
    <t>Input Value</t>
  </si>
  <si>
    <t>Adjusted Interest Expense</t>
  </si>
  <si>
    <t>Adjusted Other Income</t>
  </si>
  <si>
    <t>Gross Margin</t>
  </si>
  <si>
    <t>Gross Operational Risk Losses / Gross Margin (Quarterly)</t>
  </si>
  <si>
    <t>Number of Total Material Operational Risk Events</t>
  </si>
  <si>
    <t>Frequency of Events &gt; $200K in Losses (Cumulative Quarterly)</t>
  </si>
  <si>
    <r>
      <t xml:space="preserve">From January 2015 to June 2015, Gross Margin is calculated by SC's definition of Gross Margin </t>
    </r>
    <r>
      <rPr>
        <b/>
        <i/>
        <sz val="14"/>
        <color rgb="FFFF0000"/>
        <rFont val="Calibri"/>
        <family val="2"/>
        <scheme val="minor"/>
      </rPr>
      <t>(Gross Margin = Net Margin + Other Interest Income + Fees, Commissions and Other)</t>
    </r>
    <r>
      <rPr>
        <b/>
        <sz val="14"/>
        <color rgb="FFFF0000"/>
        <rFont val="Calibri"/>
        <family val="2"/>
        <scheme val="minor"/>
      </rPr>
      <t xml:space="preserve">, in July 2015 Gross Margin was adjusted to match SHUSA's defintion of Gross Margin </t>
    </r>
    <r>
      <rPr>
        <b/>
        <i/>
        <sz val="14"/>
        <color rgb="FFFF0000"/>
        <rFont val="Calibri"/>
        <family val="2"/>
        <scheme val="minor"/>
      </rPr>
      <t>(Adjusted Interest Income + Adjusted Interest Expense + Adjusted Other Income).</t>
    </r>
  </si>
  <si>
    <t>Multiplied by 12</t>
  </si>
  <si>
    <t>Serviced for Others (SFO) Monthly Net Charge-Off Rate (BofA &amp; RBC Only)</t>
  </si>
  <si>
    <r>
      <t xml:space="preserve">Average of Trailing 12 Months Monthly Net Charge Off Rates
</t>
    </r>
    <r>
      <rPr>
        <sz val="9"/>
        <color rgb="FF000000"/>
        <rFont val="Calibri"/>
        <family val="2"/>
        <scheme val="minor"/>
      </rPr>
      <t>(Monthly Net Charge Off % = Monthly Net Charge Off divided by Monthly Total Outstanding Balance for Serviced for Others Portfolio)</t>
    </r>
  </si>
  <si>
    <t>NOTE: The Current Amber Trigger is (240mm), Proposed Amber Trigger is (280); The Current Red Limit is (300mm), Proposed Red Limit is (350mm)</t>
  </si>
  <si>
    <t>Historical Data Provided</t>
  </si>
  <si>
    <t>&gt; .02</t>
  </si>
  <si>
    <t>&gt; .03</t>
  </si>
  <si>
    <t>The new Fraud metric was created based upon a few factors.  Most importantly, External Fraud comprised an increasingly significant portion of operational loss events throughout 2015 and into 2016.  Additionally, from a corporate perspective, Fraud has increased in profile across all entities and we receive frequent questions related to our fraud activity.  Given the increased awareness across a number of channels, including SHUSA, we thought that monitoring and measuring a fraud metric was a natural, and necessary addition to the ORM scorecard.</t>
  </si>
  <si>
    <t xml:space="preserve">SC is recalibrating the dollar limit of MVE to reflect a consistent level of equity risk in 2016 as 2015.  The proposed MVE +/-200bps operating limit of ($280MM) and board limit of ($350MM) projects to a Duration of Equity of 2.7 and 3.4, respectively.  </t>
  </si>
  <si>
    <t>Current Capacity Available for Warehouse Loans + BSNY Line Divided by
Average (Historical Monthly Originations over 6 Months –Paydowns–Subvention/Discounts –Flow Agreements + Monthly Cash Flows)</t>
  </si>
  <si>
    <t xml:space="preserve">Currently ACL is a combination of BAU and stressed. Forecasted view of origination makes this metric volatile. 
SC Finance and Market Risk enhanced the methodology. </t>
  </si>
  <si>
    <t>3 month red limit and 4 months amber limit is a better reflection of our liquidity planning and more suited to a consumer finance company without deposit funding.
Corresponds to FRB Liquidity Stress Testing requirement of 90 days Liquidity Buffer.</t>
  </si>
  <si>
    <t>Receive hedge accounting treatment in recent hedges. 
Continue to monitor as repoorting metric.</t>
  </si>
  <si>
    <t>Ratio of total capital to total risk weighted assets, where total capital is defined as the sum of Tier 1 Capital and Tier 2 Capital.</t>
  </si>
  <si>
    <t>Ratio of non-performing loan (NPL) entries to total outstanding loan balance.  NPLs are defined as nonaccrual loans (61+ DPD for auto and 90+ DPD for unsecured).</t>
  </si>
  <si>
    <t>Control Indicator #</t>
  </si>
  <si>
    <t>Q1 2015</t>
  </si>
  <si>
    <t>Q2 2015</t>
  </si>
  <si>
    <t>Q3 2015</t>
  </si>
  <si>
    <t>Q4 2015</t>
  </si>
  <si>
    <t>Q1 2016</t>
  </si>
  <si>
    <t xml:space="preserve">Operational </t>
  </si>
  <si>
    <t>CI22187</t>
  </si>
  <si>
    <t>BP KRI 64</t>
  </si>
  <si>
    <t>CI23514, CI23515, CI23516</t>
  </si>
  <si>
    <t>N/A</t>
  </si>
  <si>
    <t>CI22126</t>
  </si>
  <si>
    <t>SC does not rely on Deposit funding or non-contractual liabilities</t>
  </si>
  <si>
    <t>Needs Update/in Flux</t>
  </si>
  <si>
    <t>TCE Ratio</t>
  </si>
  <si>
    <t>PQ1</t>
  </si>
  <si>
    <t>PQ2</t>
  </si>
  <si>
    <t>PQ3</t>
  </si>
  <si>
    <t>PQ4</t>
  </si>
  <si>
    <t>PQ5</t>
  </si>
  <si>
    <t>PQ6</t>
  </si>
  <si>
    <t>PQ7</t>
  </si>
  <si>
    <t>PQ8</t>
  </si>
  <si>
    <t>PQ9</t>
  </si>
  <si>
    <t>FRB Base</t>
  </si>
  <si>
    <t>FRB Adv</t>
  </si>
  <si>
    <t>FRB SA</t>
  </si>
  <si>
    <t>BHC Stress</t>
  </si>
  <si>
    <t>11/30/2015</t>
  </si>
  <si>
    <t>12/31/2015</t>
  </si>
  <si>
    <t>1/31/2016</t>
  </si>
  <si>
    <t>2/29/2016</t>
  </si>
  <si>
    <t>3/31/2016</t>
  </si>
  <si>
    <t>4/30/2016</t>
  </si>
  <si>
    <t>5/31/2016</t>
  </si>
  <si>
    <t>6/30/2016</t>
  </si>
  <si>
    <t>7/31/2016</t>
  </si>
  <si>
    <t>8/31/2016</t>
  </si>
  <si>
    <t>9/30/2016</t>
  </si>
  <si>
    <t>10/31/2016</t>
  </si>
  <si>
    <t>Core Non-Prime</t>
  </si>
  <si>
    <t>Chrysler (Prime and Non)</t>
  </si>
  <si>
    <t>Prime Lease</t>
  </si>
  <si>
    <t>Unsecured</t>
  </si>
  <si>
    <t>Monthly Projected Originations</t>
  </si>
  <si>
    <t>Less: Subvention/Discounts/Participation</t>
  </si>
  <si>
    <t>Less: Flow Agreement Commitments</t>
  </si>
  <si>
    <t>Less: Paydowns</t>
  </si>
  <si>
    <t>Remove Term Financing Paydowns*</t>
  </si>
  <si>
    <t>Net Interest Income</t>
  </si>
  <si>
    <t>Operating Expenses</t>
  </si>
  <si>
    <t>Servicing/Fees/Commissions</t>
  </si>
  <si>
    <t>Income Taxes</t>
  </si>
  <si>
    <t>Monthly Net Funding Needs</t>
  </si>
  <si>
    <t>Adjusted for Lease</t>
  </si>
  <si>
    <t>SHUSA LOAN</t>
  </si>
  <si>
    <t>SC UNSECURED ISSUANCE</t>
  </si>
  <si>
    <t>External Warehouse Capacity</t>
  </si>
  <si>
    <t>BSNY Lines</t>
  </si>
  <si>
    <t>Operating</t>
  </si>
  <si>
    <t>SHUSA Backup</t>
  </si>
  <si>
    <t>Other</t>
  </si>
  <si>
    <t>Total ACL Capacity (numerator)</t>
  </si>
  <si>
    <t>Base Case</t>
  </si>
  <si>
    <t>Current ACL:</t>
  </si>
  <si>
    <t>Base Case (Actual Reported by Market Risk)</t>
  </si>
  <si>
    <t>Proposed ACL - historical data</t>
  </si>
  <si>
    <t>Jan2016</t>
  </si>
  <si>
    <t>FICO300-629</t>
  </si>
  <si>
    <t>FICO630-850</t>
  </si>
  <si>
    <t>Not_Available</t>
  </si>
  <si>
    <t>Total</t>
  </si>
  <si>
    <t>Commercial Fleet Retail</t>
  </si>
  <si>
    <t>Consumer Auto Lending</t>
  </si>
  <si>
    <t>Core/Organic Auto Loans</t>
  </si>
  <si>
    <t>Purchase Auto Loans</t>
  </si>
  <si>
    <t>RV/Marine Loans</t>
  </si>
  <si>
    <t>Chrysler Commercial Fleet Lease</t>
  </si>
  <si>
    <t>Chrysler Lease</t>
  </si>
  <si>
    <t>UBER Lease</t>
  </si>
  <si>
    <t>Personal Lending</t>
  </si>
  <si>
    <t>Wholesale and Dealer Lending</t>
  </si>
  <si>
    <t>Revolving Facility - DriveTime</t>
  </si>
  <si>
    <t xml:space="preserve">Total </t>
  </si>
  <si>
    <t>Feb 2016</t>
  </si>
  <si>
    <t>March 2016</t>
  </si>
  <si>
    <t>Total subprime excl. subprime leases &amp; wholesale lending</t>
  </si>
  <si>
    <t>Without PL</t>
  </si>
  <si>
    <t>Total SHUSA Risk Exposure</t>
  </si>
  <si>
    <t>Total subprime excl. subprime leases as a % of total SHUSA Risk Exposure</t>
  </si>
  <si>
    <t>Total Subprime</t>
  </si>
  <si>
    <t>Total SHUSA Leases</t>
  </si>
  <si>
    <t>Total SHUSA Risk Exposure + Leases</t>
  </si>
  <si>
    <t>Total Subprime as a % of total risk exposure incl. leases</t>
  </si>
  <si>
    <t>DEFINITIONS</t>
  </si>
  <si>
    <t xml:space="preserve">SHUSA Risk Appetite metric: </t>
  </si>
  <si>
    <t>Concentration of sub-prime risk exposure as a % of total risk exposure</t>
  </si>
  <si>
    <t>Sub-prime risk exposure:</t>
  </si>
  <si>
    <t>SHUSA Total Risk Exposure:</t>
  </si>
  <si>
    <t>DATA PROVIDERS, CALCULATION AND SIGN-OFF</t>
  </si>
  <si>
    <t>SCUSA Sub-prime risk exposure:</t>
  </si>
  <si>
    <t>SCUSA ERM function to SHUSA RA team</t>
  </si>
  <si>
    <t>SHUSA MI function to SHUSA RA team</t>
  </si>
  <si>
    <t>Calculations:</t>
  </si>
  <si>
    <t>SHUSA RA team</t>
  </si>
  <si>
    <t>Sign-off required:</t>
  </si>
  <si>
    <t>SCUSA ERM, SHUSA Credit Risk</t>
  </si>
  <si>
    <t>Jan2015</t>
  </si>
  <si>
    <t>without PL</t>
  </si>
  <si>
    <t>Feb2015</t>
  </si>
  <si>
    <t>March2015</t>
  </si>
  <si>
    <t>April2015</t>
  </si>
  <si>
    <t>May2015</t>
  </si>
  <si>
    <t>June2015</t>
  </si>
  <si>
    <t>July2015</t>
  </si>
  <si>
    <t>August2015</t>
  </si>
  <si>
    <t>September2015</t>
  </si>
  <si>
    <t>October 2015</t>
  </si>
  <si>
    <t>November 2015</t>
  </si>
  <si>
    <t>December 2015</t>
  </si>
  <si>
    <t>DO NOT DELETE</t>
  </si>
  <si>
    <t>Pre- IHC Integration</t>
  </si>
  <si>
    <t>Post - IHC Integration</t>
  </si>
  <si>
    <t>Feb 2016 Subprime Exposure Actuals with GCB transfers (~$8.0B adjusted out of total SHUSA Exposure)</t>
  </si>
  <si>
    <t>Total SHUSA Exposure (ex-leases)</t>
  </si>
  <si>
    <t>SC Subprime Exposure (avg TTM)</t>
  </si>
  <si>
    <t>SBNA Subprime Exposure</t>
  </si>
  <si>
    <t>BSPR Subprime Exposure</t>
  </si>
  <si>
    <t>SC Subprime Exposure (avg. TTM) / Total SHUSA Exposure (ex-leases)</t>
  </si>
  <si>
    <t>Total SHUSA Subprime Exposure / Total SHUSA Exposure (ex-leases)</t>
  </si>
  <si>
    <t>Column1</t>
  </si>
  <si>
    <t>Column2</t>
  </si>
  <si>
    <t>Column3</t>
  </si>
  <si>
    <t>Column4</t>
  </si>
  <si>
    <t>Column5</t>
  </si>
  <si>
    <r>
      <t xml:space="preserve">All </t>
    </r>
    <r>
      <rPr>
        <i/>
        <u/>
        <sz val="10"/>
        <color theme="1"/>
        <rFont val="Calibri"/>
        <family val="2"/>
        <scheme val="minor"/>
      </rPr>
      <t>non-leasing</t>
    </r>
    <r>
      <rPr>
        <sz val="10"/>
        <color theme="1"/>
        <rFont val="Calibri"/>
        <family val="2"/>
        <scheme val="minor"/>
      </rPr>
      <t xml:space="preserve"> exposure at SCUSA with FICO score &lt;630 + FICO score "not available"</t>
    </r>
  </si>
  <si>
    <r>
      <t xml:space="preserve">Drawn on balance sheet + letters of credit + committed undrawn off balance sheet </t>
    </r>
    <r>
      <rPr>
        <i/>
        <u/>
        <sz val="10"/>
        <color theme="1"/>
        <rFont val="Calibri"/>
        <family val="2"/>
        <scheme val="minor"/>
      </rPr>
      <t>(excl. leases)</t>
    </r>
  </si>
  <si>
    <t>US$ BILLIONS</t>
  </si>
  <si>
    <t>Total subprime excl. subprime leases &amp; wholesale lending and PL Portfolio</t>
  </si>
  <si>
    <t>Excluding PL</t>
  </si>
  <si>
    <t>#hidecolumn</t>
  </si>
  <si>
    <t>#hiderow</t>
  </si>
  <si>
    <t>SCUSA unadjusted</t>
  </si>
  <si>
    <t>No Submission</t>
  </si>
  <si>
    <t>2016 CCAR</t>
  </si>
  <si>
    <t>Working Version</t>
  </si>
  <si>
    <t>No Scenario</t>
  </si>
  <si>
    <t>BHC Base - Planned Actions</t>
  </si>
  <si>
    <t>BHC Stress - Alternative Actions</t>
  </si>
  <si>
    <t>FRB Base - Planned Actions</t>
  </si>
  <si>
    <t>FRB Adverse - Planned Actions</t>
  </si>
  <si>
    <t>FRB Severely Adverse - Planned Actions</t>
  </si>
  <si>
    <t>No Measure</t>
  </si>
  <si>
    <t>2015Q1</t>
  </si>
  <si>
    <t>2015Q2</t>
  </si>
  <si>
    <t>2015Q3</t>
  </si>
  <si>
    <t>2015Q4</t>
  </si>
  <si>
    <t>2016Q1</t>
  </si>
  <si>
    <t>2016Q2</t>
  </si>
  <si>
    <t>2016Q3</t>
  </si>
  <si>
    <t>2016Q4</t>
  </si>
  <si>
    <t>2017Q1</t>
  </si>
  <si>
    <t>2017Q2</t>
  </si>
  <si>
    <t>2017Q3</t>
  </si>
  <si>
    <t>2017Q4</t>
  </si>
  <si>
    <t>2018Q1</t>
  </si>
  <si>
    <t>Actuals</t>
  </si>
  <si>
    <t>PQ0</t>
  </si>
  <si>
    <t>MDRM</t>
  </si>
  <si>
    <t>Item</t>
  </si>
  <si>
    <t>Schedule RI-A—Changes in Bank  Equity Capital</t>
  </si>
  <si>
    <t>SK3217 (Bank holding company equity capital - prior quarter)</t>
  </si>
  <si>
    <t>CASK3217</t>
  </si>
  <si>
    <t>1</t>
  </si>
  <si>
    <t>Total bank equity capital most recently reported for the end of previous QUARTER</t>
  </si>
  <si>
    <t>None</t>
  </si>
  <si>
    <t>SKB507 (Effect of changes in accounting principle and other)</t>
  </si>
  <si>
    <t>CASKB507</t>
  </si>
  <si>
    <t>2</t>
  </si>
  <si>
    <t>Effect of changes in accounting principles and corrections of material accounting errors</t>
  </si>
  <si>
    <t>SKB508 (Restated bank holding company equity capital - prior quarter)</t>
  </si>
  <si>
    <t>CASKB508</t>
  </si>
  <si>
    <t>3</t>
  </si>
  <si>
    <t>Balance end of previous QUARTER as restated (sum of items 1 and 2)</t>
  </si>
  <si>
    <t>SK4340 (Net income attributable to the BHC)</t>
  </si>
  <si>
    <t>CASK4340</t>
  </si>
  <si>
    <t>4</t>
  </si>
  <si>
    <t>Net income (loss) attributable to bank</t>
  </si>
  <si>
    <t/>
  </si>
  <si>
    <t>Sale of perpetual preferred stock (excluding treasury stock transactions):</t>
  </si>
  <si>
    <t>SK3577 (Sale of perpetual preferred stock, gross)</t>
  </si>
  <si>
    <t>CASK3577</t>
  </si>
  <si>
    <t>5</t>
  </si>
  <si>
    <t>Sale of perpetual preferred stock, gross</t>
  </si>
  <si>
    <t>SK3578 (Conversion or retirement of perpetual preferred stock)</t>
  </si>
  <si>
    <t>CASK3578</t>
  </si>
  <si>
    <t>6</t>
  </si>
  <si>
    <t>Conversion or retirement of perpetual preferred stock</t>
  </si>
  <si>
    <t>Sale of common stock:</t>
  </si>
  <si>
    <t>SK3579 (Sale of common stock, gross)</t>
  </si>
  <si>
    <t>CASK3579</t>
  </si>
  <si>
    <t>7</t>
  </si>
  <si>
    <t>Sale of common stock, gross</t>
  </si>
  <si>
    <t>SK3580 (Conversion or retirement of common stock)</t>
  </si>
  <si>
    <t>CASK3580</t>
  </si>
  <si>
    <t>8</t>
  </si>
  <si>
    <t>Conversion or retirement of common stock</t>
  </si>
  <si>
    <t>SK4782 (Sale of treasury stock)</t>
  </si>
  <si>
    <t>CASK4782</t>
  </si>
  <si>
    <t>9</t>
  </si>
  <si>
    <t>Sale of treasury stock</t>
  </si>
  <si>
    <t>SK4783 (Purchase of treasury stock)</t>
  </si>
  <si>
    <t>CASK4783</t>
  </si>
  <si>
    <t>10</t>
  </si>
  <si>
    <t>Purchase of treasury stock</t>
  </si>
  <si>
    <t>SK4356 (Changes incident to a business combination)</t>
  </si>
  <si>
    <t>CASK4356</t>
  </si>
  <si>
    <t>11</t>
  </si>
  <si>
    <t>Changes incident to business combinations, net</t>
  </si>
  <si>
    <t>SK4598 (Cash dividends declared on preferred stock)</t>
  </si>
  <si>
    <t>CASK4598</t>
  </si>
  <si>
    <t>12</t>
  </si>
  <si>
    <t>Cash dividends declared on preferred stock</t>
  </si>
  <si>
    <t>SK4460 (Cash dividends declared on common stock)</t>
  </si>
  <si>
    <t>CASK4460</t>
  </si>
  <si>
    <t>13</t>
  </si>
  <si>
    <t>Cash dividends declared on common stock</t>
  </si>
  <si>
    <t>SKB511 (Other comprehensive income)</t>
  </si>
  <si>
    <t>CASKB511</t>
  </si>
  <si>
    <t>14</t>
  </si>
  <si>
    <t>Other comprehensive income</t>
  </si>
  <si>
    <t>SK4591 (Changes due to ESOP)</t>
  </si>
  <si>
    <t>CASK4591</t>
  </si>
  <si>
    <t>15</t>
  </si>
  <si>
    <t>Change in the offsetting debit to the liability for Employee Stock Ownership Plan (ESOP) debt guaranteed by the bank holding company</t>
  </si>
  <si>
    <t>SK3581 (Other adjustments to equity capital)</t>
  </si>
  <si>
    <t>CASK3581</t>
  </si>
  <si>
    <t>16</t>
  </si>
  <si>
    <t>Other adjustments to equity capital (not included above)*</t>
  </si>
  <si>
    <t>SK3210 (Banking holding company equity capital - current quarter)</t>
  </si>
  <si>
    <t>CASK3210</t>
  </si>
  <si>
    <t>17</t>
  </si>
  <si>
    <t>Total bank equity capital end of current period (sum of items 3, 4, 5, 6, 7, 8, 9, 11, 14, 15, 16, less items 10, 12, 13)</t>
  </si>
  <si>
    <t>Common equity tier 1</t>
  </si>
  <si>
    <t>SDP742 (Common stock and surplus)</t>
  </si>
  <si>
    <t>CASDP742</t>
  </si>
  <si>
    <t>43</t>
  </si>
  <si>
    <t>Common stock and related surplus, net of treasury stock and unearned employee stock ownership plan (ESOP) shares</t>
  </si>
  <si>
    <t>Transition</t>
  </si>
  <si>
    <t>SK3247 (Retained earnings)</t>
  </si>
  <si>
    <t>CASK3247</t>
  </si>
  <si>
    <t>44</t>
  </si>
  <si>
    <t>Retained earnings</t>
  </si>
  <si>
    <t>SDB530 (Accumulated other comprehensive income)</t>
  </si>
  <si>
    <t>CASD8530</t>
  </si>
  <si>
    <t>45</t>
  </si>
  <si>
    <t>Accumulated other comprehensive income (AOCI)</t>
  </si>
  <si>
    <t>SDP839 (CET1 minority interest)</t>
  </si>
  <si>
    <t>CASDP839</t>
  </si>
  <si>
    <t>46</t>
  </si>
  <si>
    <t>Common equity tier 1 minority interest includable in common equity tier 1 capital</t>
  </si>
  <si>
    <t>SDP840 (Common equity tier 1 before adjustments and deductions)</t>
  </si>
  <si>
    <t>CASDP840</t>
  </si>
  <si>
    <t>47</t>
  </si>
  <si>
    <t>Common equity tier 1 before adjustments and deductions (sum of items 43 through 46); where applicable, report all line items reflective of transition provisions</t>
  </si>
  <si>
    <t>Common equity tier 1 capital: adjustments and deductions</t>
  </si>
  <si>
    <t>SDP841 (Goodwill net of DTLs)</t>
  </si>
  <si>
    <t>CASDP841</t>
  </si>
  <si>
    <t>48</t>
  </si>
  <si>
    <t>Goodwill net of associated deferred tax liabilities (DTLs)</t>
  </si>
  <si>
    <t>SDP842 (Intangible assets, net of DTLs)</t>
  </si>
  <si>
    <t>CASDP842</t>
  </si>
  <si>
    <t>49</t>
  </si>
  <si>
    <t>Intangible assets (other than goodwill and mortgage servicing assets (MSAs)), net of associated DTLs</t>
  </si>
  <si>
    <t>SDP843 (DTAs that arise from net operating loss and tax credit carryforwards)</t>
  </si>
  <si>
    <t>CASDP843</t>
  </si>
  <si>
    <t>50</t>
  </si>
  <si>
    <t>Deferred tax assets (DTAs) that arise from net operating loss and tax credit carryforwards, net of any related valuation allowances and net of DTLs</t>
  </si>
  <si>
    <t>If Item 42 is “1” for “Yes”, complete items 51 through 55 only for AOCI related adjustments.</t>
  </si>
  <si>
    <t>SDP844 (AOCI adj: Net unrealized gains (losses) on AFS securities)</t>
  </si>
  <si>
    <t>CASDP844</t>
  </si>
  <si>
    <t>51</t>
  </si>
  <si>
    <t>AOCI related adjustments: Net unrealized gains (losses) on available-for-sale securities (if a gain, report as a positive value; if a loss, report as a negative value)</t>
  </si>
  <si>
    <t>SDP845 (AOCI adj: Net unrealized loss on equity securities)</t>
  </si>
  <si>
    <t>CASDP845</t>
  </si>
  <si>
    <t>52</t>
  </si>
  <si>
    <t>AOCI related adjustments: Net unrealized loss on available-for-sale preferred stock classified as an equity security under GAAP and available-for-sale equity exposures (report loss as a positive value)</t>
  </si>
  <si>
    <t>SDP846 (AOCI adj: Accumulated net gains (losses) on cash flow hedges)</t>
  </si>
  <si>
    <t>CASDP846</t>
  </si>
  <si>
    <t>53</t>
  </si>
  <si>
    <t>AOCI related adjustments: Accumulated net gains (losses) on cash flow hedges (if a gain, report as a positive value; if a loss, report as a negative value)</t>
  </si>
  <si>
    <t>SDP847 (AOCI adj: Amounts recorded in AOCI attributed to defined benefit retirement plans)</t>
  </si>
  <si>
    <t>CASDP847</t>
  </si>
  <si>
    <t>54</t>
  </si>
  <si>
    <t>AOCI related adjustments: Amounts recorded in AOCI attributed to defined benefit postretirement plans resulting from the initial and subsequent application of the relevant GAAP standards that pertain to such plans  (if a gain, report as a positive value; if a loss, report as a negative value)</t>
  </si>
  <si>
    <t>SDP848 (AOCI adj: Net unrealized gains (losses) on HTM securities included in AOCI)</t>
  </si>
  <si>
    <t>CASDP848</t>
  </si>
  <si>
    <t>55</t>
  </si>
  <si>
    <t>AOCI related adjustments: Net unrealized gains (losses) on held-to-maturity securities that are included in AOCI (if a gain, report as a positive value; if a loss, report as a negative value)</t>
  </si>
  <si>
    <t>If Item 42 is “0” for “No”, complete item 56 only for AOCI related adjustments.</t>
  </si>
  <si>
    <t>SDP849 (AOCI adj: Accumulated net gain gain (loss) on cash flow hedges included in AOCI related to hedges of not recognized at fair value on the balance sheet)</t>
  </si>
  <si>
    <t>CASDP849</t>
  </si>
  <si>
    <t>56</t>
  </si>
  <si>
    <t>AOCI related adjustments: Accumulated net gain (loss) on cash flow hedges included in AOCI, net of applicable tax effects, that relate to the hedging of items that are not recognized at fair value on the balance sheet (if a gain, report as a positive value; if a loss, report as a negative value)</t>
  </si>
  <si>
    <t>SDQ258 (Other deductions:  Unrealized net gain (loss) due to change in fair value of liabilities due to change in own credit risk)</t>
  </si>
  <si>
    <t>CASDQ258</t>
  </si>
  <si>
    <t>57</t>
  </si>
  <si>
    <t>Other deductions from (additions to) common equity tier capital 1 before threshold-based deductions: Unrealized net gain (loss) related to changes in the fair value of liabilities that are due to changes in own credit risk (if a gain, report as a positive value; if a loss, report as a negative value)</t>
  </si>
  <si>
    <t>SDP850 (Other deductions: all other)</t>
  </si>
  <si>
    <t>CASDP850</t>
  </si>
  <si>
    <t>58</t>
  </si>
  <si>
    <t xml:space="preserve"> All other deductions from (additions to) common equity tier 1 capital before threshold-based deductions</t>
  </si>
  <si>
    <t>SDP851 (Non-sign investments in capital of unconsolidated financial institutions that exceed 10%)</t>
  </si>
  <si>
    <t>CASDP851</t>
  </si>
  <si>
    <t>59</t>
  </si>
  <si>
    <t>Non-significant investments in the capital of unconsolidated financial institutions in the form of common stock that exceed the 10 percent threshold for non-significant investments</t>
  </si>
  <si>
    <t>SDP852 (Subtotal)</t>
  </si>
  <si>
    <t>CASDP852</t>
  </si>
  <si>
    <t>60</t>
  </si>
  <si>
    <t>Subtotal (item 47 minus items 48 through 59)</t>
  </si>
  <si>
    <t>SDP853 (Sig investments in common stock of unconsolidated financial institutions in excess of 10%)</t>
  </si>
  <si>
    <t>CASKP853</t>
  </si>
  <si>
    <t>61</t>
  </si>
  <si>
    <t>Significant investments in the capital of unconsolidated financial institutions in the form of common stock, net of associated DTLs, that exceed the 10 percent common equity tier 1 capital deduction threshold (item 92)</t>
  </si>
  <si>
    <t>SDP854 (MSAs, net that exceed 10%)</t>
  </si>
  <si>
    <t>CASKP854</t>
  </si>
  <si>
    <t>62</t>
  </si>
  <si>
    <t>MSAs, net of associated DTLs, that exceed the 10 percent common equity tier 1 capital deduction threshold (item 97)</t>
  </si>
  <si>
    <t>SDP855 (DTAs arising from temporary differences, net that exceed 10%)</t>
  </si>
  <si>
    <t>CASKP855</t>
  </si>
  <si>
    <t>63</t>
  </si>
  <si>
    <t>DTAs arising from temporary differences that could not be realized through net operating loss carrybacks, net of related valuation allowances and net of DTLs, that exceed the 10 percent common equity tier 1 capital deduction threshold (item 100)</t>
  </si>
  <si>
    <t>CASKP856</t>
  </si>
  <si>
    <t>64</t>
  </si>
  <si>
    <t>Amount of significant investments in the capital of unconsolidated financial institutions in the form of common stock; MSAs, net of associated DTLs; and DTAs arising from temporary differences that could not be realized through net operating loss carrybacks, net of related valuation allowances and net of DTLs; that exceeds the 15 percent common equity tier 1 capital deduction threshold (item 105)</t>
  </si>
  <si>
    <t>SDP857 (Deductions to CET due to insufficient AT1)</t>
  </si>
  <si>
    <t>CASDP857</t>
  </si>
  <si>
    <t>65</t>
  </si>
  <si>
    <t>Deductions applied to common equity tier 1 capital due to insufficient amount of additional tier 1 capital and tier 2 capital to cover deductions</t>
  </si>
  <si>
    <t>SDP858 (Total adjustments and deductions for common equity tier 1)</t>
  </si>
  <si>
    <t>CASDP858</t>
  </si>
  <si>
    <t>66</t>
  </si>
  <si>
    <t>Total adjustments and deductions for common equity tier 1 capital (sum of items 61 through 65)</t>
  </si>
  <si>
    <t>SDP859 (Common equity tier 1 capital)</t>
  </si>
  <si>
    <t>CASDP859</t>
  </si>
  <si>
    <t>67</t>
  </si>
  <si>
    <t>Common equity tier 1 capital</t>
  </si>
  <si>
    <t>Additional tier 1 capital</t>
  </si>
  <si>
    <t>SDP860 (Additional tier 1 capital instruments)</t>
  </si>
  <si>
    <t>CASDP860</t>
  </si>
  <si>
    <t>68</t>
  </si>
  <si>
    <t>Additional tier 1 capital instruments plus related surplus</t>
  </si>
  <si>
    <t>SDP861 (Non-qualifying capital instruments subject to phase out of tier 1)</t>
  </si>
  <si>
    <t>CASDP861</t>
  </si>
  <si>
    <t>69</t>
  </si>
  <si>
    <t>Non-qualifying capital instruments subject to phase out from additional tier 1 capital</t>
  </si>
  <si>
    <t>SDP862 (Tier 1 minority interest)</t>
  </si>
  <si>
    <t>CASDP862</t>
  </si>
  <si>
    <t>70</t>
  </si>
  <si>
    <t>Tier 1 minority interest not included in common equity tier 1 capital</t>
  </si>
  <si>
    <t>SDP863 (Additional tier 1 capital before deductions)</t>
  </si>
  <si>
    <t>CASDP863</t>
  </si>
  <si>
    <t>71</t>
  </si>
  <si>
    <t>Additional tier 1 capital before deductions</t>
  </si>
  <si>
    <t>SDP864 (Additional tier 1 capital deductions)</t>
  </si>
  <si>
    <t>CASDP864</t>
  </si>
  <si>
    <t>72</t>
  </si>
  <si>
    <t>Additional tier 1 capital deductions</t>
  </si>
  <si>
    <t>SDP865 (Additional tier 1 capital)</t>
  </si>
  <si>
    <t>CASDP865</t>
  </si>
  <si>
    <t>73</t>
  </si>
  <si>
    <t>Tier 1 capital</t>
  </si>
  <si>
    <t>SD8274 (Tier 1 capital)</t>
  </si>
  <si>
    <t>CASD8274</t>
  </si>
  <si>
    <t>74</t>
  </si>
  <si>
    <t>Tier 1 capital (sum of items 67 and 73)</t>
  </si>
  <si>
    <t>Tier 2 capital</t>
  </si>
  <si>
    <t>SDP866 (Tier 2 capital instruments plus related surplus)</t>
  </si>
  <si>
    <t>CASDP866</t>
  </si>
  <si>
    <t>75</t>
  </si>
  <si>
    <t>Tier 2 capital instruments plus related surplus</t>
  </si>
  <si>
    <t>SDP867 (Non-qualifying capital instruments subject to phase out from tier 2)</t>
  </si>
  <si>
    <t>CASDP867</t>
  </si>
  <si>
    <t>76</t>
  </si>
  <si>
    <t>Non-qualifying capital instruments subject to phase out from tier 2 capital</t>
  </si>
  <si>
    <t>SDP868 (Total capital minority interest)</t>
  </si>
  <si>
    <t>CASDP868</t>
  </si>
  <si>
    <t>77</t>
  </si>
  <si>
    <t>Total capital minority interest that is not included in tier 1 capital</t>
  </si>
  <si>
    <t>SD5310 (Allowance for loan and lease losses includable in tier 2 capital)</t>
  </si>
  <si>
    <t>CASD5310</t>
  </si>
  <si>
    <t>78</t>
  </si>
  <si>
    <t>Allowance for loan and lease losses includable in tier 2 capital</t>
  </si>
  <si>
    <t>CASE5310</t>
  </si>
  <si>
    <t>79</t>
  </si>
  <si>
    <t>(Advanced approaches that exit parallel run only): eligible credit reserves includable in tier 2 capital</t>
  </si>
  <si>
    <t>SDQ257 (Unrealized gains on AFS equities)</t>
  </si>
  <si>
    <t>CASDQ257</t>
  </si>
  <si>
    <t>80</t>
  </si>
  <si>
    <t>Unrealized gains on available-for-sale preferred stock classified as an equity security under GAAP and available-for-sale equity exposures includable in tier 2 capital</t>
  </si>
  <si>
    <t>SDP870 (Tier 2 capital before deductions)</t>
  </si>
  <si>
    <t>CASDP870</t>
  </si>
  <si>
    <t>81</t>
  </si>
  <si>
    <t>Tier 2 capital before deductions</t>
  </si>
  <si>
    <t>CASEP870</t>
  </si>
  <si>
    <t>82</t>
  </si>
  <si>
    <t>(Advanced approaches that exit parallel run only): Tier 2 capital before deductions, reflective of transition procedures</t>
  </si>
  <si>
    <t>SDP872 (Tier 2 capital deductions)</t>
  </si>
  <si>
    <t>CASDP872</t>
  </si>
  <si>
    <t>83</t>
  </si>
  <si>
    <t>Tier 2 capital deductions</t>
  </si>
  <si>
    <t>SD5311 (Tier 2 capital)</t>
  </si>
  <si>
    <t>CASD5311</t>
  </si>
  <si>
    <t>84</t>
  </si>
  <si>
    <t>CASE5311</t>
  </si>
  <si>
    <t>85</t>
  </si>
  <si>
    <t>(Advanced approaches that exit parallel run only): Tier 2 capital, reflective of transition procedures</t>
  </si>
  <si>
    <t>Total capital</t>
  </si>
  <si>
    <t>SD3792 (Total capital)</t>
  </si>
  <si>
    <t>CASD3792</t>
  </si>
  <si>
    <t>86</t>
  </si>
  <si>
    <t>Total capital (sum of items 74 and 84)</t>
  </si>
  <si>
    <t>CASE3792</t>
  </si>
  <si>
    <t>87</t>
  </si>
  <si>
    <t>(Advanced approaches that exit parallel run only): Total capital(sum of items 74 and 85)</t>
  </si>
  <si>
    <t>10%/15% Threshold Deductions Calculations</t>
  </si>
  <si>
    <t>Significant investments in the capital of unconsolidated financial institutions in the form of common stock, net of associated DTLs</t>
  </si>
  <si>
    <t>SDQ259 (Gross significant investments in the capital of unconsolidated financial institutions)</t>
  </si>
  <si>
    <t>CASDQ259</t>
  </si>
  <si>
    <t>88</t>
  </si>
  <si>
    <t>Gross significant investments in the capital of unconsolidated financial institutions in the form of common stock</t>
  </si>
  <si>
    <t>SDQ260 (Permitted offsetting short positions in relation to the specific gross holdings included above)</t>
  </si>
  <si>
    <t>CASDQ260</t>
  </si>
  <si>
    <t>89</t>
  </si>
  <si>
    <t>Permitted offsetting short positions in relation to the specific gross holdings included above</t>
  </si>
  <si>
    <t>SDQ261 (Significant investments in financials, net)</t>
  </si>
  <si>
    <t>CASDQ261</t>
  </si>
  <si>
    <t>90</t>
  </si>
  <si>
    <t>Significant investments in the capital of unconsolidated financial institutions in the form of common stock net of short positions  (greater of item 88 minus 89 or zero)</t>
  </si>
  <si>
    <t>SDQ262 (10% of common equity tier 1 deduction threshold)</t>
  </si>
  <si>
    <t>CASDQ262</t>
  </si>
  <si>
    <t>91</t>
  </si>
  <si>
    <t>10 percent common equity tier 1 deduction threshold (10 percent of item 60)</t>
  </si>
  <si>
    <t>CASDP853</t>
  </si>
  <si>
    <t>92</t>
  </si>
  <si>
    <t>Amount to be deducted from common equity tier 1 due to 10 percent deduction threshold (greater of item 90 minus item 91 or zero)</t>
  </si>
  <si>
    <t>MSAs, net of associated DTLs</t>
  </si>
  <si>
    <t>SDQ263 (Total MSAs)</t>
  </si>
  <si>
    <t>CASDQ263</t>
  </si>
  <si>
    <t>93</t>
  </si>
  <si>
    <t>Total mortgage servicing assets classified as intangible</t>
  </si>
  <si>
    <t>SDQ264 (DTLs associated with MSAs)</t>
  </si>
  <si>
    <t>CASDQ264</t>
  </si>
  <si>
    <t>94</t>
  </si>
  <si>
    <t>Associated deferred tax liabilities which would be extinguished if the intangible becomes impaired or derecognized under the relevant accounting standards</t>
  </si>
  <si>
    <t>SDQ265 (MSAs, net of DTLs)</t>
  </si>
  <si>
    <t>CASDQ265</t>
  </si>
  <si>
    <t>95</t>
  </si>
  <si>
    <t>Mortgage servicing assets net of related deferred tax liabilities (item 93 minus item 94)</t>
  </si>
  <si>
    <t>96</t>
  </si>
  <si>
    <t>CASDP854</t>
  </si>
  <si>
    <t>97</t>
  </si>
  <si>
    <t>Amount to be deducted from common equity tier 1 due to 10 percent deduction threshold (greater of item 95 minus item 96 or zero)</t>
  </si>
  <si>
    <t>DTAs arising from temporary differences that could not be realized through net operating loss carrybacks, net of related valuation allowances and net of DTLs</t>
  </si>
  <si>
    <t>SDQ296 (DTAs arising from temporary differences, net of DTLs)</t>
  </si>
  <si>
    <t>CASDQ296</t>
  </si>
  <si>
    <t>98</t>
  </si>
  <si>
    <t>99</t>
  </si>
  <si>
    <t>CASDP855</t>
  </si>
  <si>
    <t>100</t>
  </si>
  <si>
    <t>Amount to be deducted from common equity tier 1 due to 10 percent deduction threshold (greater of item 98 minus item 99 or zero)</t>
  </si>
  <si>
    <t>Aggregate of items subject to the 15% limit (significant investments, mortgage servicing assets and deferred tax assets arising from temporary differences)</t>
  </si>
  <si>
    <t>SDQ266 (SDQ266)</t>
  </si>
  <si>
    <t>CASDQ266</t>
  </si>
  <si>
    <t>101</t>
  </si>
  <si>
    <t>Sum of items 90, 95, and 98</t>
  </si>
  <si>
    <t>SDQ267 (SDQ267)</t>
  </si>
  <si>
    <t>CASDQ267</t>
  </si>
  <si>
    <t>102</t>
  </si>
  <si>
    <t>15 percent common equity tier 1 deduction threshold (15 percent of item 60)</t>
  </si>
  <si>
    <t>SDQ268 (Subtotal)</t>
  </si>
  <si>
    <t>CASDQ268</t>
  </si>
  <si>
    <t>103</t>
  </si>
  <si>
    <t>Sum of items 92, 97, and 100</t>
  </si>
  <si>
    <t>SDQ269 (SDQ269)</t>
  </si>
  <si>
    <t>CASDQ269</t>
  </si>
  <si>
    <t>104</t>
  </si>
  <si>
    <t>Item 101 minus item 103</t>
  </si>
  <si>
    <t>SDQ270 (Aggregate threshold deductions in excess of 15%)</t>
  </si>
  <si>
    <t>CASDQ270</t>
  </si>
  <si>
    <t>105</t>
  </si>
  <si>
    <t>Amount to be deducted from common equity tier 1 due to 15 percent deduction threshold, prior transition provision (greater of item 104 minus item 102 or zero)</t>
  </si>
  <si>
    <t>Total Assets for the Leverage Ratio</t>
  </si>
  <si>
    <t>SK3368 (Average total consolidated assets)</t>
  </si>
  <si>
    <t>CASK3368</t>
  </si>
  <si>
    <t>106</t>
  </si>
  <si>
    <t>Average total consolidated assets</t>
  </si>
  <si>
    <t>SDP875 (Deductions from CET1 and AT1)</t>
  </si>
  <si>
    <t>CASDP875</t>
  </si>
  <si>
    <t>107</t>
  </si>
  <si>
    <t>Deductions from common equity tier 1 capital and additional tier 1 capital</t>
  </si>
  <si>
    <t>SDB596 (Other deductions)</t>
  </si>
  <si>
    <t>CASDB596</t>
  </si>
  <si>
    <t>108</t>
  </si>
  <si>
    <t>Other deductions from (additions to) assets for leverage ratio purposes</t>
  </si>
  <si>
    <t>SDA224 (Total assets for the leverage ratio)</t>
  </si>
  <si>
    <t>CASDA224</t>
  </si>
  <si>
    <t>109</t>
  </si>
  <si>
    <t>Total assets for the leverage ratio (item 106 minus items 107 and 108)</t>
  </si>
  <si>
    <t>REGULATORY CAPITAL AND RATIOS</t>
  </si>
  <si>
    <t>111</t>
  </si>
  <si>
    <t>Common equity tier 1 (item 67)</t>
  </si>
  <si>
    <t>113</t>
  </si>
  <si>
    <t>Tier 1 capital per revised regulatory capital rule (item 74)</t>
  </si>
  <si>
    <t>115</t>
  </si>
  <si>
    <t>Total capital per revised regulatory capital rule (item 86)</t>
  </si>
  <si>
    <t>SE3792 (AA-Total capital)</t>
  </si>
  <si>
    <t>116</t>
  </si>
  <si>
    <t>(Advanced approaches that exit parallel run only): Total capital per revised regulatory capital rule (item 87)</t>
  </si>
  <si>
    <t>SDA223 (Total risk-weighted assets)</t>
  </si>
  <si>
    <t>CASDA223</t>
  </si>
  <si>
    <t>118</t>
  </si>
  <si>
    <t>Total risk-weighted assets using standardized approach</t>
  </si>
  <si>
    <t>SEA223 (AA-total RWA)</t>
  </si>
  <si>
    <t>CASEA223</t>
  </si>
  <si>
    <t>119</t>
  </si>
  <si>
    <t>(Advanced approaches  that exit parallel run only): total risk-weighted assets using advanced approaches rules</t>
  </si>
  <si>
    <t>SKA224 (Total assets for the leverage ratio (revised capital rule))</t>
  </si>
  <si>
    <t>CASKA224</t>
  </si>
  <si>
    <t>120</t>
  </si>
  <si>
    <t>Total assets for the leverage ratio per revised regulatory capital rule(item 109)</t>
  </si>
  <si>
    <t>SDP793 (Common equity tier 1 capital ratio)</t>
  </si>
  <si>
    <t>CASDP793</t>
  </si>
  <si>
    <t>122</t>
  </si>
  <si>
    <t>Common equity tier 1 ratio (%)</t>
  </si>
  <si>
    <t>SEP793 (AA-CET1 ratio)</t>
  </si>
  <si>
    <t>CASEP793</t>
  </si>
  <si>
    <t>123</t>
  </si>
  <si>
    <t xml:space="preserve">Common equity tier 1 ratio (%)(Advanced approaches that exit parallel run only) </t>
  </si>
  <si>
    <t>SD7206 (Tier 1 capital ratio)</t>
  </si>
  <si>
    <t>CASD7206</t>
  </si>
  <si>
    <t>124</t>
  </si>
  <si>
    <t>Tier 1 capital ratio (%)</t>
  </si>
  <si>
    <t>SE7206 (AA-Tier 1 capital ratio)</t>
  </si>
  <si>
    <t>CASE7206</t>
  </si>
  <si>
    <t>125</t>
  </si>
  <si>
    <t xml:space="preserve"> Tier 1 capital ratio (%)(Advanced approaches  that exit parallel run only)</t>
  </si>
  <si>
    <t>SD7205 (Total capital ratio)</t>
  </si>
  <si>
    <t>CASD7205</t>
  </si>
  <si>
    <t>126</t>
  </si>
  <si>
    <t>Total capital ratio (%) (item 114 or 115 divided by item 117 or 118)</t>
  </si>
  <si>
    <t>SE7205 (AA-Total capital ratio)</t>
  </si>
  <si>
    <t>CASE7205</t>
  </si>
  <si>
    <t>127</t>
  </si>
  <si>
    <t xml:space="preserve"> Total capital ratio (%)(Advanced approaches that exit parallel run only)</t>
  </si>
  <si>
    <t>SD7204 (Tier 1 leverage ratio)</t>
  </si>
  <si>
    <t>CASD7204</t>
  </si>
  <si>
    <t>128</t>
  </si>
  <si>
    <t xml:space="preserve">Tier 1 leverage ratio (%) </t>
  </si>
  <si>
    <t>CET1</t>
  </si>
  <si>
    <t>Tier 1 (Risk Based) Capital</t>
  </si>
  <si>
    <t>Total Capital</t>
  </si>
  <si>
    <t>Capital Component</t>
  </si>
  <si>
    <t>2016-2015</t>
  </si>
  <si>
    <t>Adequately Capitalized</t>
  </si>
  <si>
    <t>Market Funding</t>
  </si>
  <si>
    <t>Op Volatility</t>
  </si>
  <si>
    <t>Post-stress minimum</t>
  </si>
  <si>
    <t>Stress absorption</t>
  </si>
  <si>
    <t>Business-as-usual minimum</t>
  </si>
  <si>
    <t>Strategic capital</t>
  </si>
  <si>
    <t>Management adjustment</t>
  </si>
  <si>
    <t>Planned capital hold</t>
  </si>
  <si>
    <t>BHC Stress Scenario Red Limit</t>
  </si>
  <si>
    <t>TCE</t>
  </si>
  <si>
    <t>*2016 data source: SC Capital Policy, Approval Date: Feb 19, 2016</t>
  </si>
</sst>
</file>

<file path=xl/styles.xml><?xml version="1.0" encoding="utf-8"?>
<styleSheet xmlns="http://schemas.openxmlformats.org/spreadsheetml/2006/main" xmlns:mc="http://schemas.openxmlformats.org/markup-compatibility/2006" xmlns:x14ac="http://schemas.microsoft.com/office/spreadsheetml/2009/9/ac" mc:Ignorable="x14ac">
  <numFmts count="23">
    <numFmt numFmtId="6" formatCode="&quot;$&quot;#,##0_);[Red]\(&quot;$&quot;#,##0\)"/>
    <numFmt numFmtId="41" formatCode="_(* #,##0_);_(* \(#,##0\);_(* &quot;-&quot;_);_(@_)"/>
    <numFmt numFmtId="44" formatCode="_(&quot;$&quot;* #,##0.00_);_(&quot;$&quot;* \(#,##0.00\);_(&quot;$&quot;* &quot;-&quot;??_);_(@_)"/>
    <numFmt numFmtId="43" formatCode="_(* #,##0.00_);_(* \(#,##0.00\);_(* &quot;-&quot;??_);_(@_)"/>
    <numFmt numFmtId="164" formatCode="0.0%"/>
    <numFmt numFmtId="165" formatCode="_(* #,##0_);_(* \(#,##0\);_(* &quot;-&quot;??_);_(@_)"/>
    <numFmt numFmtId="166" formatCode="0.0"/>
    <numFmt numFmtId="167" formatCode="&quot;$&quot;#,##0,,"/>
    <numFmt numFmtId="168" formatCode="&quot;$&quot;#,##0,,&quot;mm&quot;"/>
    <numFmt numFmtId="169" formatCode="&quot;$&quot;#0.0,,,&quot;bn&quot;"/>
    <numFmt numFmtId="170" formatCode="&quot;$&quot;#0.0,,,"/>
    <numFmt numFmtId="171" formatCode="&quot;$&quot;#,##0.00"/>
    <numFmt numFmtId="172" formatCode="[$-409]mmmm\-yy;@"/>
    <numFmt numFmtId="173" formatCode="[$-409]mmm\-yy;@"/>
    <numFmt numFmtId="174" formatCode="&quot;$&quot;#,##0.0"/>
    <numFmt numFmtId="175" formatCode="0.000%"/>
    <numFmt numFmtId="176" formatCode="0.0000%"/>
    <numFmt numFmtId="177" formatCode="[$$-809]#,##0"/>
    <numFmt numFmtId="178" formatCode="[$$-809]0"/>
    <numFmt numFmtId="179" formatCode="_(&quot;$&quot;* #,##0_);_(&quot;$&quot;* \(#,##0\);_(&quot;$&quot;* &quot;-&quot;??_);_(@_)"/>
    <numFmt numFmtId="180" formatCode="mmm\ yy"/>
    <numFmt numFmtId="181" formatCode="&quot;$&quot;#,##0.0_);[Red]\(&quot;$&quot;#,##0.0\)"/>
    <numFmt numFmtId="182" formatCode="0.000"/>
  </numFmts>
  <fonts count="54" x14ac:knownFonts="1">
    <font>
      <sz val="11"/>
      <color theme="1"/>
      <name val="Calibri"/>
      <family val="2"/>
      <scheme val="minor"/>
    </font>
    <font>
      <b/>
      <sz val="9"/>
      <color rgb="FF000000"/>
      <name val="Arial"/>
      <family val="2"/>
    </font>
    <font>
      <sz val="9"/>
      <color theme="1"/>
      <name val="Calibri"/>
      <family val="2"/>
      <scheme val="minor"/>
    </font>
    <font>
      <sz val="9"/>
      <color rgb="FF000000"/>
      <name val="Arial"/>
      <family val="2"/>
    </font>
    <font>
      <sz val="11"/>
      <color theme="1"/>
      <name val="Calibri"/>
      <family val="2"/>
      <scheme val="minor"/>
    </font>
    <font>
      <sz val="11"/>
      <color rgb="FFFF0000"/>
      <name val="Calibri"/>
      <family val="2"/>
      <scheme val="minor"/>
    </font>
    <font>
      <b/>
      <sz val="11"/>
      <color theme="1"/>
      <name val="Calibri"/>
      <family val="2"/>
      <scheme val="minor"/>
    </font>
    <font>
      <b/>
      <sz val="11"/>
      <color rgb="FFFFFFFF"/>
      <name val="Calibri"/>
      <family val="2"/>
      <scheme val="minor"/>
    </font>
    <font>
      <b/>
      <sz val="11"/>
      <color rgb="FF000000"/>
      <name val="Calibri"/>
      <family val="2"/>
      <scheme val="minor"/>
    </font>
    <font>
      <i/>
      <sz val="9"/>
      <color rgb="FF000000"/>
      <name val="Calibri"/>
      <family val="2"/>
      <scheme val="minor"/>
    </font>
    <font>
      <sz val="11"/>
      <color rgb="FF000000"/>
      <name val="Calibri"/>
      <family val="2"/>
      <scheme val="minor"/>
    </font>
    <font>
      <b/>
      <i/>
      <sz val="9"/>
      <color rgb="FF00B050"/>
      <name val="Calibri"/>
      <family val="2"/>
      <scheme val="minor"/>
    </font>
    <font>
      <b/>
      <sz val="11"/>
      <color rgb="FF00B050"/>
      <name val="Calibri"/>
      <family val="2"/>
      <scheme val="minor"/>
    </font>
    <font>
      <sz val="9"/>
      <color rgb="FF000000"/>
      <name val="Calibri"/>
      <family val="2"/>
      <scheme val="minor"/>
    </font>
    <font>
      <b/>
      <u/>
      <sz val="11"/>
      <color theme="1"/>
      <name val="Calibri"/>
      <family val="2"/>
      <scheme val="minor"/>
    </font>
    <font>
      <b/>
      <sz val="9"/>
      <color rgb="FF000000"/>
      <name val="Calibri"/>
      <family val="2"/>
      <scheme val="minor"/>
    </font>
    <font>
      <b/>
      <sz val="11"/>
      <color rgb="FFFF0000"/>
      <name val="Calibri"/>
      <family val="2"/>
      <scheme val="minor"/>
    </font>
    <font>
      <b/>
      <sz val="16"/>
      <color rgb="FFFF0000"/>
      <name val="Calibri"/>
      <family val="2"/>
      <scheme val="minor"/>
    </font>
    <font>
      <b/>
      <i/>
      <sz val="11"/>
      <color theme="1"/>
      <name val="Calibri"/>
      <family val="2"/>
      <scheme val="minor"/>
    </font>
    <font>
      <b/>
      <i/>
      <sz val="10"/>
      <color theme="1"/>
      <name val="Calibri"/>
      <family val="2"/>
      <scheme val="minor"/>
    </font>
    <font>
      <i/>
      <sz val="11"/>
      <color theme="1"/>
      <name val="Calibri"/>
      <family val="2"/>
      <scheme val="minor"/>
    </font>
    <font>
      <b/>
      <sz val="11"/>
      <color theme="0"/>
      <name val="Calibri"/>
      <family val="2"/>
      <scheme val="minor"/>
    </font>
    <font>
      <b/>
      <sz val="14"/>
      <color rgb="FFFF0000"/>
      <name val="Calibri"/>
      <family val="2"/>
      <scheme val="minor"/>
    </font>
    <font>
      <b/>
      <i/>
      <sz val="14"/>
      <color rgb="FFFF0000"/>
      <name val="Calibri"/>
      <family val="2"/>
      <scheme val="minor"/>
    </font>
    <font>
      <i/>
      <sz val="11"/>
      <color rgb="FF000000"/>
      <name val="Calibri"/>
      <family val="2"/>
      <scheme val="minor"/>
    </font>
    <font>
      <b/>
      <sz val="9"/>
      <color indexed="81"/>
      <name val="Tahoma"/>
      <family val="2"/>
    </font>
    <font>
      <sz val="9"/>
      <color indexed="81"/>
      <name val="Tahoma"/>
      <family val="2"/>
    </font>
    <font>
      <sz val="11"/>
      <name val="Calibri"/>
      <family val="2"/>
      <scheme val="minor"/>
    </font>
    <font>
      <sz val="10"/>
      <color theme="1"/>
      <name val="Arial"/>
      <family val="2"/>
    </font>
    <font>
      <b/>
      <sz val="10"/>
      <color rgb="FF000000"/>
      <name val="Arial"/>
      <family val="2"/>
    </font>
    <font>
      <sz val="10"/>
      <color rgb="FF000000"/>
      <name val="Arial"/>
      <family val="2"/>
    </font>
    <font>
      <sz val="10"/>
      <color rgb="FFFF0000"/>
      <name val="Arial"/>
      <family val="2"/>
    </font>
    <font>
      <b/>
      <i/>
      <sz val="10"/>
      <color theme="4"/>
      <name val="Arial"/>
      <family val="2"/>
    </font>
    <font>
      <sz val="10"/>
      <color theme="4"/>
      <name val="Arial"/>
      <family val="2"/>
    </font>
    <font>
      <b/>
      <sz val="10"/>
      <color theme="0"/>
      <name val="Arial"/>
      <family val="2"/>
    </font>
    <font>
      <sz val="10"/>
      <color rgb="FF006000"/>
      <name val="Arial"/>
      <family val="2"/>
    </font>
    <font>
      <b/>
      <sz val="14"/>
      <color theme="1"/>
      <name val="Arial"/>
      <family val="2"/>
    </font>
    <font>
      <sz val="10"/>
      <color theme="1"/>
      <name val="Calibri"/>
      <family val="2"/>
      <scheme val="minor"/>
    </font>
    <font>
      <b/>
      <sz val="10"/>
      <color theme="1"/>
      <name val="Calibri"/>
      <family val="2"/>
      <scheme val="minor"/>
    </font>
    <font>
      <b/>
      <sz val="10"/>
      <color theme="0"/>
      <name val="Calibri"/>
      <family val="2"/>
      <scheme val="minor"/>
    </font>
    <font>
      <i/>
      <u/>
      <sz val="10"/>
      <color theme="1"/>
      <name val="Calibri"/>
      <family val="2"/>
      <scheme val="minor"/>
    </font>
    <font>
      <sz val="10"/>
      <color rgb="FFFF0000"/>
      <name val="Calibri"/>
      <family val="2"/>
      <scheme val="minor"/>
    </font>
    <font>
      <b/>
      <sz val="10"/>
      <color rgb="FFFF0000"/>
      <name val="Calibri"/>
      <family val="2"/>
      <scheme val="minor"/>
    </font>
    <font>
      <sz val="10"/>
      <color rgb="FF0000FF"/>
      <name val="Calibri"/>
      <family val="2"/>
      <scheme val="minor"/>
    </font>
    <font>
      <b/>
      <i/>
      <sz val="10"/>
      <color theme="1"/>
      <name val="Arial"/>
      <family val="2"/>
    </font>
    <font>
      <sz val="10"/>
      <color theme="1"/>
      <name val="Arial Narrow"/>
      <family val="2"/>
    </font>
    <font>
      <sz val="10"/>
      <name val="Arial Narrow"/>
      <family val="2"/>
    </font>
    <font>
      <sz val="10"/>
      <name val="Arial"/>
      <family val="2"/>
    </font>
    <font>
      <i/>
      <sz val="10"/>
      <color theme="6" tint="-0.249977111117893"/>
      <name val="Arial Narrow"/>
      <family val="2"/>
    </font>
    <font>
      <sz val="10"/>
      <color theme="6" tint="-0.249977111117893"/>
      <name val="Arial Narrow"/>
      <family val="2"/>
    </font>
    <font>
      <b/>
      <sz val="10"/>
      <color theme="1"/>
      <name val="Arial Narrow"/>
      <family val="2"/>
    </font>
    <font>
      <sz val="10"/>
      <color theme="6" tint="-0.249977111117893"/>
      <name val="Arial"/>
      <family val="2"/>
    </font>
    <font>
      <b/>
      <sz val="10"/>
      <name val="Arial Narrow"/>
      <family val="2"/>
    </font>
    <font>
      <sz val="10"/>
      <color rgb="FF0000FF"/>
      <name val="Arial Narrow"/>
      <family val="2"/>
    </font>
  </fonts>
  <fills count="24">
    <fill>
      <patternFill patternType="none"/>
    </fill>
    <fill>
      <patternFill patternType="gray125"/>
    </fill>
    <fill>
      <patternFill patternType="solid">
        <fgColor rgb="FFFFFF99"/>
        <bgColor indexed="64"/>
      </patternFill>
    </fill>
    <fill>
      <patternFill patternType="solid">
        <fgColor rgb="FF808080"/>
        <bgColor indexed="64"/>
      </patternFill>
    </fill>
    <fill>
      <patternFill patternType="solid">
        <fgColor theme="0"/>
        <bgColor indexed="64"/>
      </patternFill>
    </fill>
    <fill>
      <patternFill patternType="solid">
        <fgColor theme="0" tint="-0.14999847407452621"/>
        <bgColor indexed="64"/>
      </patternFill>
    </fill>
    <fill>
      <patternFill patternType="solid">
        <fgColor rgb="FFFFC000"/>
        <bgColor indexed="64"/>
      </patternFill>
    </fill>
    <fill>
      <patternFill patternType="solid">
        <fgColor rgb="FFFF0000"/>
        <bgColor indexed="64"/>
      </patternFill>
    </fill>
    <fill>
      <patternFill patternType="solid">
        <fgColor theme="0" tint="-0.499984740745262"/>
        <bgColor indexed="64"/>
      </patternFill>
    </fill>
    <fill>
      <patternFill patternType="solid">
        <fgColor theme="1"/>
        <bgColor indexed="64"/>
      </patternFill>
    </fill>
    <fill>
      <patternFill patternType="solid">
        <fgColor theme="2"/>
        <bgColor indexed="64"/>
      </patternFill>
    </fill>
    <fill>
      <patternFill patternType="solid">
        <fgColor theme="6" tint="0.79998168889431442"/>
        <bgColor indexed="65"/>
      </patternFill>
    </fill>
    <fill>
      <patternFill patternType="solid">
        <fgColor theme="6" tint="0.59999389629810485"/>
        <bgColor indexed="65"/>
      </patternFill>
    </fill>
    <fill>
      <patternFill patternType="solid">
        <fgColor theme="2" tint="-0.249977111117893"/>
        <bgColor indexed="64"/>
      </patternFill>
    </fill>
    <fill>
      <patternFill patternType="solid">
        <fgColor theme="5" tint="0.39997558519241921"/>
        <bgColor indexed="64"/>
      </patternFill>
    </fill>
    <fill>
      <patternFill patternType="solid">
        <fgColor rgb="FFFFFF00"/>
        <bgColor indexed="64"/>
      </patternFill>
    </fill>
    <fill>
      <patternFill patternType="solid">
        <fgColor theme="4" tint="0.79998168889431442"/>
        <bgColor theme="4" tint="0.79998168889431442"/>
      </patternFill>
    </fill>
    <fill>
      <patternFill patternType="solid">
        <fgColor theme="4"/>
        <bgColor theme="4"/>
      </patternFill>
    </fill>
    <fill>
      <patternFill patternType="solid">
        <fgColor theme="7" tint="0.39997558519241921"/>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rgb="FFFFFFCC"/>
        <bgColor indexed="64"/>
      </patternFill>
    </fill>
    <fill>
      <patternFill patternType="solid">
        <fgColor theme="0" tint="-0.249977111117893"/>
        <bgColor indexed="64"/>
      </patternFill>
    </fill>
    <fill>
      <patternFill patternType="solid">
        <fgColor theme="5" tint="0.59999389629810485"/>
        <bgColor indexed="64"/>
      </patternFill>
    </fill>
  </fills>
  <borders count="101">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right style="thin">
        <color rgb="FF000000"/>
      </right>
      <top/>
      <bottom/>
      <diagonal/>
    </border>
    <border>
      <left style="medium">
        <color indexed="64"/>
      </left>
      <right style="medium">
        <color indexed="64"/>
      </right>
      <top style="medium">
        <color indexed="64"/>
      </top>
      <bottom style="medium">
        <color indexed="64"/>
      </bottom>
      <diagonal/>
    </border>
    <border>
      <left/>
      <right style="thin">
        <color rgb="FF000000"/>
      </right>
      <top style="thin">
        <color rgb="FF000000"/>
      </top>
      <bottom style="thin">
        <color rgb="FF000000"/>
      </bottom>
      <diagonal/>
    </border>
    <border>
      <left style="medium">
        <color indexed="64"/>
      </left>
      <right style="thin">
        <color rgb="FF000000"/>
      </right>
      <top style="medium">
        <color indexed="64"/>
      </top>
      <bottom/>
      <diagonal/>
    </border>
    <border>
      <left style="thin">
        <color rgb="FF000000"/>
      </left>
      <right style="thin">
        <color rgb="FF000000"/>
      </right>
      <top style="medium">
        <color indexed="64"/>
      </top>
      <bottom style="thin">
        <color rgb="FF000000"/>
      </bottom>
      <diagonal/>
    </border>
    <border>
      <left style="thin">
        <color rgb="FF000000"/>
      </left>
      <right style="medium">
        <color indexed="64"/>
      </right>
      <top style="medium">
        <color indexed="64"/>
      </top>
      <bottom style="thin">
        <color rgb="FF000000"/>
      </bottom>
      <diagonal/>
    </border>
    <border>
      <left style="medium">
        <color indexed="64"/>
      </left>
      <right style="thin">
        <color rgb="FF000000"/>
      </right>
      <top/>
      <bottom/>
      <diagonal/>
    </border>
    <border>
      <left style="thin">
        <color rgb="FF000000"/>
      </left>
      <right style="medium">
        <color indexed="64"/>
      </right>
      <top style="thin">
        <color rgb="FF000000"/>
      </top>
      <bottom style="thin">
        <color rgb="FF000000"/>
      </bottom>
      <diagonal/>
    </border>
    <border>
      <left style="medium">
        <color indexed="64"/>
      </left>
      <right style="thin">
        <color rgb="FF000000"/>
      </right>
      <top/>
      <bottom style="medium">
        <color indexed="64"/>
      </bottom>
      <diagonal/>
    </border>
    <border>
      <left style="thin">
        <color rgb="FF000000"/>
      </left>
      <right style="thin">
        <color rgb="FF000000"/>
      </right>
      <top style="thin">
        <color rgb="FF000000"/>
      </top>
      <bottom style="medium">
        <color indexed="64"/>
      </bottom>
      <diagonal/>
    </border>
    <border>
      <left style="thin">
        <color rgb="FF000000"/>
      </left>
      <right style="medium">
        <color indexed="64"/>
      </right>
      <top style="thin">
        <color rgb="FF000000"/>
      </top>
      <bottom style="medium">
        <color indexed="64"/>
      </bottom>
      <diagonal/>
    </border>
    <border>
      <left style="medium">
        <color rgb="FF000000"/>
      </left>
      <right style="thin">
        <color rgb="FF000000"/>
      </right>
      <top style="medium">
        <color rgb="FF000000"/>
      </top>
      <bottom/>
      <diagonal/>
    </border>
    <border>
      <left style="thin">
        <color rgb="FF000000"/>
      </left>
      <right style="thin">
        <color rgb="FF000000"/>
      </right>
      <top style="medium">
        <color rgb="FF000000"/>
      </top>
      <bottom/>
      <diagonal/>
    </border>
    <border>
      <left style="medium">
        <color indexed="64"/>
      </left>
      <right style="thin">
        <color rgb="FF000000"/>
      </right>
      <top style="medium">
        <color indexed="64"/>
      </top>
      <bottom style="medium">
        <color indexed="64"/>
      </bottom>
      <diagonal/>
    </border>
    <border>
      <left style="thin">
        <color rgb="FF000000"/>
      </left>
      <right style="thin">
        <color rgb="FF000000"/>
      </right>
      <top style="medium">
        <color indexed="64"/>
      </top>
      <bottom style="medium">
        <color indexed="64"/>
      </bottom>
      <diagonal/>
    </border>
    <border>
      <left style="thin">
        <color rgb="FF000000"/>
      </left>
      <right style="medium">
        <color indexed="64"/>
      </right>
      <top style="medium">
        <color indexed="64"/>
      </top>
      <bottom style="medium">
        <color indexed="64"/>
      </bottom>
      <diagonal/>
    </border>
    <border>
      <left/>
      <right style="thin">
        <color rgb="FF000000"/>
      </right>
      <top style="medium">
        <color indexed="64"/>
      </top>
      <bottom style="thin">
        <color rgb="FF000000"/>
      </bottom>
      <diagonal/>
    </border>
    <border>
      <left/>
      <right style="thin">
        <color rgb="FF000000"/>
      </right>
      <top style="thin">
        <color rgb="FF000000"/>
      </top>
      <bottom style="medium">
        <color indexed="64"/>
      </bottom>
      <diagonal/>
    </border>
    <border>
      <left/>
      <right style="thin">
        <color rgb="FF000000"/>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thick">
        <color indexed="64"/>
      </left>
      <right style="thick">
        <color indexed="64"/>
      </right>
      <top style="medium">
        <color indexed="64"/>
      </top>
      <bottom style="medium">
        <color indexed="64"/>
      </bottom>
      <diagonal/>
    </border>
    <border>
      <left style="thick">
        <color indexed="64"/>
      </left>
      <right/>
      <top style="medium">
        <color indexed="64"/>
      </top>
      <bottom style="medium">
        <color indexed="64"/>
      </bottom>
      <diagonal/>
    </border>
    <border>
      <left style="medium">
        <color indexed="64"/>
      </left>
      <right style="thick">
        <color indexed="64"/>
      </right>
      <top style="medium">
        <color indexed="64"/>
      </top>
      <bottom style="medium">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medium">
        <color indexed="64"/>
      </left>
      <right style="medium">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style="thin">
        <color indexed="64"/>
      </top>
      <bottom style="thin">
        <color indexed="64"/>
      </bottom>
      <diagonal/>
    </border>
    <border>
      <left style="medium">
        <color indexed="64"/>
      </left>
      <right/>
      <top/>
      <bottom style="thin">
        <color indexed="64"/>
      </bottom>
      <diagonal/>
    </border>
    <border>
      <left style="medium">
        <color indexed="64"/>
      </left>
      <right style="thin">
        <color indexed="64"/>
      </right>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medium">
        <color indexed="64"/>
      </left>
      <right/>
      <top/>
      <bottom/>
      <diagonal/>
    </border>
    <border>
      <left style="medium">
        <color indexed="64"/>
      </left>
      <right/>
      <top style="thin">
        <color indexed="64"/>
      </top>
      <bottom/>
      <diagonal/>
    </border>
    <border>
      <left style="medium">
        <color indexed="64"/>
      </left>
      <right style="thin">
        <color indexed="64"/>
      </right>
      <top style="thin">
        <color indexed="64"/>
      </top>
      <bottom/>
      <diagonal/>
    </border>
    <border>
      <left/>
      <right style="thin">
        <color indexed="64"/>
      </right>
      <top style="medium">
        <color indexed="64"/>
      </top>
      <bottom/>
      <diagonal/>
    </border>
    <border>
      <left style="thin">
        <color indexed="64"/>
      </left>
      <right style="thin">
        <color indexed="64"/>
      </right>
      <top style="medium">
        <color indexed="64"/>
      </top>
      <bottom/>
      <diagonal/>
    </border>
    <border>
      <left style="medium">
        <color indexed="64"/>
      </left>
      <right/>
      <top/>
      <bottom style="medium">
        <color indexed="64"/>
      </bottom>
      <diagonal/>
    </border>
    <border>
      <left style="medium">
        <color indexed="64"/>
      </left>
      <right/>
      <top style="medium">
        <color indexed="64"/>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top/>
      <bottom style="medium">
        <color indexed="64"/>
      </bottom>
      <diagonal/>
    </border>
    <border>
      <left/>
      <right/>
      <top style="medium">
        <color indexed="64"/>
      </top>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top/>
      <bottom/>
      <diagonal/>
    </border>
    <border>
      <left style="medium">
        <color indexed="64"/>
      </left>
      <right/>
      <top style="medium">
        <color indexed="64"/>
      </top>
      <bottom style="thin">
        <color indexed="64"/>
      </bottom>
      <diagonal/>
    </border>
    <border>
      <left style="thin">
        <color indexed="64"/>
      </left>
      <right/>
      <top style="medium">
        <color indexed="64"/>
      </top>
      <bottom style="medium">
        <color indexed="64"/>
      </bottom>
      <diagonal/>
    </border>
    <border>
      <left style="medium">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right style="thin">
        <color indexed="64"/>
      </right>
      <top/>
      <bottom/>
      <diagonal/>
    </border>
    <border>
      <left style="thin">
        <color indexed="64"/>
      </left>
      <right style="medium">
        <color indexed="64"/>
      </right>
      <top/>
      <bottom/>
      <diagonal/>
    </border>
    <border>
      <left/>
      <right style="thin">
        <color indexed="64"/>
      </right>
      <top style="thin">
        <color indexed="64"/>
      </top>
      <bottom/>
      <diagonal/>
    </border>
    <border>
      <left style="thin">
        <color indexed="64"/>
      </left>
      <right style="medium">
        <color indexed="64"/>
      </right>
      <top style="thin">
        <color indexed="64"/>
      </top>
      <bottom/>
      <diagonal/>
    </border>
    <border>
      <left/>
      <right/>
      <top style="medium">
        <color indexed="64"/>
      </top>
      <bottom style="medium">
        <color indexed="64"/>
      </bottom>
      <diagonal/>
    </border>
    <border>
      <left/>
      <right style="thin">
        <color indexed="64"/>
      </right>
      <top/>
      <bottom style="medium">
        <color indexed="64"/>
      </bottom>
      <diagonal/>
    </border>
    <border>
      <left style="thin">
        <color indexed="64"/>
      </left>
      <right style="medium">
        <color indexed="64"/>
      </right>
      <top style="medium">
        <color indexed="64"/>
      </top>
      <bottom/>
      <diagonal/>
    </border>
    <border>
      <left style="thin">
        <color indexed="64"/>
      </left>
      <right style="medium">
        <color indexed="64"/>
      </right>
      <top/>
      <bottom style="thin">
        <color indexed="64"/>
      </bottom>
      <diagonal/>
    </border>
    <border>
      <left style="thin">
        <color rgb="FF000000"/>
      </left>
      <right/>
      <top/>
      <bottom/>
      <diagonal/>
    </border>
    <border>
      <left/>
      <right style="thick">
        <color indexed="64"/>
      </right>
      <top style="medium">
        <color indexed="64"/>
      </top>
      <bottom style="medium">
        <color indexed="64"/>
      </bottom>
      <diagonal/>
    </border>
    <border>
      <left/>
      <right style="medium">
        <color indexed="64"/>
      </right>
      <top style="medium">
        <color indexed="64"/>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theme="4" tint="0.39997558519241921"/>
      </bottom>
      <diagonal/>
    </border>
    <border>
      <left style="thin">
        <color indexed="64"/>
      </left>
      <right/>
      <top style="thin">
        <color indexed="64"/>
      </top>
      <bottom style="thin">
        <color theme="4" tint="0.39997558519241921"/>
      </bottom>
      <diagonal/>
    </border>
    <border>
      <left/>
      <right/>
      <top/>
      <bottom style="thin">
        <color indexed="64"/>
      </bottom>
      <diagonal/>
    </border>
    <border>
      <left/>
      <right/>
      <top/>
      <bottom style="thin">
        <color rgb="FFFF0000"/>
      </bottom>
      <diagonal/>
    </border>
    <border>
      <left/>
      <right/>
      <top style="thin">
        <color rgb="FFFF0000"/>
      </top>
      <bottom/>
      <diagonal/>
    </border>
    <border>
      <left/>
      <right/>
      <top/>
      <bottom style="double">
        <color indexed="64"/>
      </bottom>
      <diagonal/>
    </border>
    <border>
      <left style="hair">
        <color theme="1" tint="0.499984740745262"/>
      </left>
      <right style="hair">
        <color theme="1" tint="0.499984740745262"/>
      </right>
      <top style="hair">
        <color theme="1" tint="0.499984740745262"/>
      </top>
      <bottom style="hair">
        <color theme="1" tint="0.499984740745262"/>
      </bottom>
      <diagonal/>
    </border>
    <border>
      <left/>
      <right style="hair">
        <color theme="1" tint="0.499984740745262"/>
      </right>
      <top style="hair">
        <color theme="1" tint="0.499984740745262"/>
      </top>
      <bottom style="hair">
        <color theme="1" tint="0.499984740745262"/>
      </bottom>
      <diagonal/>
    </border>
    <border>
      <left/>
      <right style="hair">
        <color theme="1" tint="0.499984740745262"/>
      </right>
      <top style="hair">
        <color theme="1" tint="0.499984740745262"/>
      </top>
      <bottom style="thin">
        <color indexed="64"/>
      </bottom>
      <diagonal/>
    </border>
    <border>
      <left style="hair">
        <color theme="1" tint="0.499984740745262"/>
      </left>
      <right style="hair">
        <color theme="1" tint="0.499984740745262"/>
      </right>
      <top style="hair">
        <color theme="1" tint="0.499984740745262"/>
      </top>
      <bottom style="thin">
        <color indexed="64"/>
      </bottom>
      <diagonal/>
    </border>
    <border>
      <left/>
      <right style="hair">
        <color theme="1" tint="0.499984740745262"/>
      </right>
      <top/>
      <bottom style="hair">
        <color theme="1" tint="0.499984740745262"/>
      </bottom>
      <diagonal/>
    </border>
    <border>
      <left style="hair">
        <color theme="1" tint="0.499984740745262"/>
      </left>
      <right style="hair">
        <color theme="1" tint="0.499984740745262"/>
      </right>
      <top/>
      <bottom style="hair">
        <color theme="1" tint="0.499984740745262"/>
      </bottom>
      <diagonal/>
    </border>
    <border>
      <left/>
      <right/>
      <top style="thin">
        <color theme="1" tint="0.499984740745262"/>
      </top>
      <bottom/>
      <diagonal/>
    </border>
  </borders>
  <cellStyleXfs count="13">
    <xf numFmtId="0" fontId="0" fillId="0" borderId="0"/>
    <xf numFmtId="9" fontId="4" fillId="0" borderId="0" applyFont="0" applyFill="0" applyBorder="0" applyAlignment="0" applyProtection="0"/>
    <xf numFmtId="43" fontId="4" fillId="0" borderId="0" applyFont="0" applyFill="0" applyBorder="0" applyAlignment="0" applyProtection="0"/>
    <xf numFmtId="0" fontId="4" fillId="11" borderId="0" applyNumberFormat="0" applyBorder="0" applyAlignment="0" applyProtection="0"/>
    <xf numFmtId="0" fontId="4" fillId="12" borderId="0" applyNumberFormat="0" applyBorder="0" applyAlignment="0" applyProtection="0"/>
    <xf numFmtId="44" fontId="4" fillId="0" borderId="0" applyFont="0" applyFill="0" applyBorder="0" applyAlignment="0" applyProtection="0"/>
    <xf numFmtId="41" fontId="45" fillId="0" borderId="0"/>
    <xf numFmtId="0" fontId="47" fillId="0" borderId="0"/>
    <xf numFmtId="41" fontId="45" fillId="19" borderId="94" applyNumberFormat="0"/>
    <xf numFmtId="9" fontId="45" fillId="0" borderId="0" applyFont="0" applyFill="0" applyBorder="0" applyAlignment="0" applyProtection="0"/>
    <xf numFmtId="41" fontId="46" fillId="20" borderId="94" applyNumberFormat="0"/>
    <xf numFmtId="0" fontId="53" fillId="21" borderId="94" applyNumberFormat="0">
      <protection locked="0"/>
    </xf>
    <xf numFmtId="41" fontId="50" fillId="0" borderId="100"/>
  </cellStyleXfs>
  <cellXfs count="564">
    <xf numFmtId="0" fontId="0" fillId="0" borderId="0" xfId="0"/>
    <xf numFmtId="0" fontId="3" fillId="0" borderId="12" xfId="0" applyFont="1" applyFill="1" applyBorder="1" applyAlignment="1">
      <alignment horizontal="center" vertical="center" wrapText="1" readingOrder="1"/>
    </xf>
    <xf numFmtId="0" fontId="1" fillId="0" borderId="4" xfId="0" applyFont="1" applyFill="1" applyBorder="1" applyAlignment="1">
      <alignment horizontal="center" vertical="center" wrapText="1" readingOrder="1"/>
    </xf>
    <xf numFmtId="0" fontId="1" fillId="0" borderId="21" xfId="0" applyFont="1" applyFill="1" applyBorder="1" applyAlignment="1">
      <alignment horizontal="center" vertical="center" wrapText="1" readingOrder="1"/>
    </xf>
    <xf numFmtId="0" fontId="1" fillId="0" borderId="17" xfId="0" applyFont="1" applyFill="1" applyBorder="1" applyAlignment="1">
      <alignment horizontal="center" vertical="center" wrapText="1" readingOrder="1"/>
    </xf>
    <xf numFmtId="0" fontId="1" fillId="0" borderId="18" xfId="0" applyFont="1" applyFill="1" applyBorder="1" applyAlignment="1">
      <alignment horizontal="center" vertical="center" wrapText="1" readingOrder="1"/>
    </xf>
    <xf numFmtId="0" fontId="1" fillId="0" borderId="3" xfId="0" applyFont="1" applyFill="1" applyBorder="1" applyAlignment="1">
      <alignment horizontal="center" vertical="center" wrapText="1" readingOrder="1"/>
    </xf>
    <xf numFmtId="0" fontId="1" fillId="0" borderId="2" xfId="0" applyFont="1" applyFill="1" applyBorder="1" applyAlignment="1">
      <alignment horizontal="center" vertical="center" wrapText="1" readingOrder="1"/>
    </xf>
    <xf numFmtId="0" fontId="2" fillId="0" borderId="0" xfId="0" applyFont="1" applyFill="1"/>
    <xf numFmtId="0" fontId="3" fillId="0" borderId="7" xfId="0" applyFont="1" applyFill="1" applyBorder="1" applyAlignment="1">
      <alignment horizontal="center" vertical="center" wrapText="1" readingOrder="1"/>
    </xf>
    <xf numFmtId="0" fontId="3" fillId="0" borderId="8" xfId="0" applyFont="1" applyFill="1" applyBorder="1" applyAlignment="1">
      <alignment horizontal="center" vertical="center" wrapText="1" readingOrder="1"/>
    </xf>
    <xf numFmtId="0" fontId="3" fillId="0" borderId="5" xfId="0" applyFont="1" applyFill="1" applyBorder="1" applyAlignment="1">
      <alignment horizontal="center" vertical="center" wrapText="1" readingOrder="1"/>
    </xf>
    <xf numFmtId="0" fontId="3" fillId="0" borderId="1" xfId="0" applyFont="1" applyFill="1" applyBorder="1" applyAlignment="1">
      <alignment horizontal="center" vertical="center" wrapText="1" readingOrder="1"/>
    </xf>
    <xf numFmtId="0" fontId="3" fillId="0" borderId="13" xfId="0" applyFont="1" applyFill="1" applyBorder="1" applyAlignment="1">
      <alignment horizontal="center" vertical="center" wrapText="1" readingOrder="1"/>
    </xf>
    <xf numFmtId="0" fontId="3" fillId="0" borderId="1" xfId="0" applyFont="1" applyFill="1" applyBorder="1" applyAlignment="1">
      <alignment horizontal="left" vertical="top" wrapText="1" readingOrder="1"/>
    </xf>
    <xf numFmtId="0" fontId="3" fillId="0" borderId="10" xfId="0" applyFont="1" applyFill="1" applyBorder="1" applyAlignment="1">
      <alignment horizontal="center" vertical="center" wrapText="1" readingOrder="1"/>
    </xf>
    <xf numFmtId="0" fontId="3" fillId="0" borderId="12" xfId="0" applyFont="1" applyFill="1" applyBorder="1" applyAlignment="1">
      <alignment horizontal="left" vertical="top" wrapText="1" readingOrder="1"/>
    </xf>
    <xf numFmtId="0" fontId="3" fillId="0" borderId="17" xfId="0" applyFont="1" applyFill="1" applyBorder="1" applyAlignment="1">
      <alignment horizontal="center" vertical="center" wrapText="1" readingOrder="1"/>
    </xf>
    <xf numFmtId="0" fontId="3" fillId="0" borderId="18" xfId="0" applyFont="1" applyFill="1" applyBorder="1" applyAlignment="1">
      <alignment horizontal="center" vertical="center" wrapText="1" readingOrder="1"/>
    </xf>
    <xf numFmtId="0" fontId="2" fillId="0" borderId="0" xfId="0" applyFont="1" applyFill="1" applyAlignment="1">
      <alignment horizontal="left" vertical="top"/>
    </xf>
    <xf numFmtId="0" fontId="1" fillId="0" borderId="14" xfId="0" applyFont="1" applyFill="1" applyBorder="1" applyAlignment="1">
      <alignment horizontal="center" vertical="center" wrapText="1" readingOrder="1"/>
    </xf>
    <xf numFmtId="0" fontId="1" fillId="0" borderId="15" xfId="0" applyFont="1" applyFill="1" applyBorder="1" applyAlignment="1">
      <alignment horizontal="center" vertical="center" wrapText="1" readingOrder="1"/>
    </xf>
    <xf numFmtId="0" fontId="3" fillId="0" borderId="7" xfId="0" applyFont="1" applyFill="1" applyBorder="1" applyAlignment="1">
      <alignment horizontal="left" vertical="center" wrapText="1" indent="1" readingOrder="1"/>
    </xf>
    <xf numFmtId="0" fontId="3" fillId="0" borderId="1" xfId="0" applyFont="1" applyFill="1" applyBorder="1" applyAlignment="1">
      <alignment horizontal="left" vertical="center" wrapText="1" indent="1" readingOrder="1"/>
    </xf>
    <xf numFmtId="0" fontId="3" fillId="0" borderId="12" xfId="0" applyFont="1" applyFill="1" applyBorder="1" applyAlignment="1">
      <alignment horizontal="left" vertical="center" wrapText="1" indent="1" readingOrder="1"/>
    </xf>
    <xf numFmtId="0" fontId="1" fillId="0" borderId="16" xfId="0" applyFont="1" applyFill="1" applyBorder="1" applyAlignment="1">
      <alignment horizontal="center" vertical="center" wrapText="1" readingOrder="1"/>
    </xf>
    <xf numFmtId="0" fontId="3" fillId="0" borderId="17" xfId="0" applyFont="1" applyFill="1" applyBorder="1" applyAlignment="1">
      <alignment horizontal="left" vertical="center" wrapText="1" indent="1" readingOrder="1"/>
    </xf>
    <xf numFmtId="0" fontId="2" fillId="0" borderId="0" xfId="0" applyFont="1" applyFill="1" applyAlignment="1">
      <alignment horizontal="center" vertical="center" readingOrder="1"/>
    </xf>
    <xf numFmtId="0" fontId="3" fillId="2" borderId="7" xfId="0" applyFont="1" applyFill="1" applyBorder="1" applyAlignment="1">
      <alignment horizontal="center" vertical="center" wrapText="1" readingOrder="1"/>
    </xf>
    <xf numFmtId="0" fontId="3" fillId="2" borderId="8" xfId="0" applyFont="1" applyFill="1" applyBorder="1" applyAlignment="1">
      <alignment horizontal="center" vertical="center" wrapText="1" readingOrder="1"/>
    </xf>
    <xf numFmtId="0" fontId="3" fillId="2" borderId="12" xfId="0" applyFont="1" applyFill="1" applyBorder="1" applyAlignment="1">
      <alignment horizontal="center" vertical="center" wrapText="1" readingOrder="1"/>
    </xf>
    <xf numFmtId="0" fontId="3" fillId="2" borderId="13" xfId="0" applyFont="1" applyFill="1" applyBorder="1" applyAlignment="1">
      <alignment horizontal="center" vertical="center" wrapText="1" readingOrder="1"/>
    </xf>
    <xf numFmtId="0" fontId="3" fillId="2" borderId="21" xfId="0" applyFont="1" applyFill="1" applyBorder="1" applyAlignment="1">
      <alignment horizontal="left" vertical="center" wrapText="1" indent="1" readingOrder="1"/>
    </xf>
    <xf numFmtId="0" fontId="3" fillId="2" borderId="17" xfId="0" applyFont="1" applyFill="1" applyBorder="1" applyAlignment="1">
      <alignment horizontal="center" vertical="center" wrapText="1" readingOrder="1"/>
    </xf>
    <xf numFmtId="0" fontId="3" fillId="2" borderId="17" xfId="0" applyFont="1" applyFill="1" applyBorder="1" applyAlignment="1">
      <alignment horizontal="left" vertical="top" wrapText="1" readingOrder="1"/>
    </xf>
    <xf numFmtId="0" fontId="3" fillId="2" borderId="1" xfId="0" applyFont="1" applyFill="1" applyBorder="1" applyAlignment="1">
      <alignment horizontal="center" vertical="center" wrapText="1" readingOrder="1"/>
    </xf>
    <xf numFmtId="0" fontId="3" fillId="2" borderId="10" xfId="0" applyFont="1" applyFill="1" applyBorder="1" applyAlignment="1">
      <alignment horizontal="center" vertical="center" wrapText="1" readingOrder="1"/>
    </xf>
    <xf numFmtId="0" fontId="3" fillId="2" borderId="1" xfId="0" applyFont="1" applyFill="1" applyBorder="1" applyAlignment="1">
      <alignment horizontal="left" vertical="top" wrapText="1" readingOrder="1"/>
    </xf>
    <xf numFmtId="0" fontId="3" fillId="2" borderId="13" xfId="0" applyFont="1" applyFill="1" applyBorder="1" applyAlignment="1">
      <alignment horizontal="left" vertical="top" wrapText="1" readingOrder="1"/>
    </xf>
    <xf numFmtId="17" fontId="7" fillId="3" borderId="26" xfId="0" applyNumberFormat="1" applyFont="1" applyFill="1" applyBorder="1" applyAlignment="1" applyProtection="1">
      <alignment horizontal="center" vertical="center"/>
      <protection locked="0"/>
    </xf>
    <xf numFmtId="17" fontId="7" fillId="3" borderId="29" xfId="0" applyNumberFormat="1" applyFont="1" applyFill="1" applyBorder="1" applyAlignment="1" applyProtection="1">
      <alignment horizontal="center" vertical="center"/>
      <protection locked="0"/>
    </xf>
    <xf numFmtId="17" fontId="7" fillId="3" borderId="30" xfId="0" applyNumberFormat="1" applyFont="1" applyFill="1" applyBorder="1" applyAlignment="1" applyProtection="1">
      <alignment horizontal="center" vertical="center"/>
      <protection locked="0"/>
    </xf>
    <xf numFmtId="0" fontId="7" fillId="6" borderId="34" xfId="0" applyFont="1" applyFill="1" applyBorder="1" applyAlignment="1" applyProtection="1">
      <alignment horizontal="center" vertical="center"/>
    </xf>
    <xf numFmtId="0" fontId="7" fillId="7" borderId="34" xfId="0" applyFont="1" applyFill="1" applyBorder="1" applyAlignment="1" applyProtection="1">
      <alignment horizontal="center" vertical="center"/>
    </xf>
    <xf numFmtId="0" fontId="7" fillId="3" borderId="35" xfId="0" applyFont="1" applyFill="1" applyBorder="1" applyAlignment="1" applyProtection="1">
      <alignment horizontal="center" vertical="center"/>
    </xf>
    <xf numFmtId="0" fontId="7" fillId="3" borderId="36" xfId="0" applyFont="1" applyFill="1" applyBorder="1" applyAlignment="1" applyProtection="1">
      <alignment horizontal="center" vertical="center"/>
    </xf>
    <xf numFmtId="0" fontId="7" fillId="3" borderId="4" xfId="0" applyFont="1" applyFill="1" applyBorder="1" applyAlignment="1" applyProtection="1">
      <alignment horizontal="center" vertical="center"/>
    </xf>
    <xf numFmtId="43" fontId="10" fillId="0" borderId="37" xfId="2" applyFont="1" applyBorder="1" applyAlignment="1" applyProtection="1">
      <alignment horizontal="center" vertical="center" wrapText="1"/>
    </xf>
    <xf numFmtId="43" fontId="10" fillId="0" borderId="38" xfId="2" applyFont="1" applyBorder="1" applyAlignment="1" applyProtection="1">
      <alignment horizontal="center" vertical="center" wrapText="1"/>
    </xf>
    <xf numFmtId="43" fontId="10" fillId="0" borderId="39" xfId="2" applyFont="1" applyBorder="1" applyAlignment="1" applyProtection="1">
      <alignment horizontal="center" vertical="center" wrapText="1"/>
    </xf>
    <xf numFmtId="43" fontId="10" fillId="0" borderId="38" xfId="2" applyFont="1" applyBorder="1" applyAlignment="1" applyProtection="1">
      <alignment horizontal="center" vertical="center" wrapText="1"/>
      <protection locked="0"/>
    </xf>
    <xf numFmtId="43" fontId="10" fillId="0" borderId="40" xfId="2" applyFont="1" applyBorder="1" applyAlignment="1" applyProtection="1">
      <alignment horizontal="center" vertical="center" wrapText="1"/>
    </xf>
    <xf numFmtId="43" fontId="10" fillId="0" borderId="41" xfId="2" applyFont="1" applyBorder="1" applyAlignment="1" applyProtection="1">
      <alignment horizontal="center" vertical="center" wrapText="1"/>
    </xf>
    <xf numFmtId="43" fontId="10" fillId="0" borderId="42" xfId="2" applyFont="1" applyBorder="1" applyAlignment="1" applyProtection="1">
      <alignment horizontal="center" vertical="center" wrapText="1"/>
    </xf>
    <xf numFmtId="43" fontId="10" fillId="0" borderId="41" xfId="2" applyFont="1" applyBorder="1" applyAlignment="1" applyProtection="1">
      <alignment horizontal="center" vertical="center" wrapText="1"/>
      <protection locked="0"/>
    </xf>
    <xf numFmtId="10" fontId="8" fillId="0" borderId="26" xfId="1" applyNumberFormat="1" applyFont="1" applyBorder="1" applyAlignment="1" applyProtection="1">
      <alignment horizontal="center" vertical="center" wrapText="1"/>
    </xf>
    <xf numFmtId="0" fontId="0" fillId="4" borderId="0" xfId="0" applyFill="1" applyProtection="1">
      <protection locked="0"/>
    </xf>
    <xf numFmtId="0" fontId="0" fillId="4" borderId="0" xfId="0" applyFill="1" applyBorder="1" applyProtection="1">
      <protection locked="0"/>
    </xf>
    <xf numFmtId="0" fontId="0" fillId="4" borderId="0" xfId="0" applyFill="1" applyAlignment="1" applyProtection="1">
      <protection locked="0"/>
    </xf>
    <xf numFmtId="0" fontId="11" fillId="4" borderId="0" xfId="0" applyFont="1" applyFill="1" applyBorder="1" applyAlignment="1" applyProtection="1">
      <alignment horizontal="right" vertical="center" wrapText="1"/>
      <protection locked="0"/>
    </xf>
    <xf numFmtId="43" fontId="10" fillId="0" borderId="38" xfId="2" applyNumberFormat="1" applyFont="1" applyBorder="1" applyAlignment="1" applyProtection="1">
      <alignment horizontal="center" vertical="center" wrapText="1"/>
    </xf>
    <xf numFmtId="43" fontId="10" fillId="0" borderId="43" xfId="2" applyFont="1" applyBorder="1" applyAlignment="1" applyProtection="1">
      <alignment horizontal="center" vertical="center" wrapText="1"/>
    </xf>
    <xf numFmtId="43" fontId="10" fillId="0" borderId="43" xfId="2" applyFont="1" applyBorder="1" applyAlignment="1" applyProtection="1">
      <alignment horizontal="center" vertical="center" wrapText="1"/>
      <protection locked="0"/>
    </xf>
    <xf numFmtId="43" fontId="10" fillId="0" borderId="39" xfId="2" applyFont="1" applyBorder="1" applyAlignment="1" applyProtection="1">
      <alignment horizontal="center" vertical="center" wrapText="1"/>
      <protection locked="0"/>
    </xf>
    <xf numFmtId="43" fontId="0" fillId="4" borderId="0" xfId="0" applyNumberFormat="1" applyFill="1" applyProtection="1">
      <protection locked="0"/>
    </xf>
    <xf numFmtId="43" fontId="10" fillId="0" borderId="45" xfId="2" applyFont="1" applyBorder="1" applyAlignment="1" applyProtection="1">
      <alignment horizontal="center" vertical="center" wrapText="1"/>
    </xf>
    <xf numFmtId="43" fontId="10" fillId="0" borderId="45" xfId="2" applyNumberFormat="1" applyFont="1" applyBorder="1" applyAlignment="1" applyProtection="1">
      <alignment horizontal="center" vertical="center" wrapText="1"/>
    </xf>
    <xf numFmtId="43" fontId="10" fillId="0" borderId="45" xfId="2" applyFont="1" applyBorder="1" applyAlignment="1" applyProtection="1">
      <alignment horizontal="center" vertical="center" wrapText="1"/>
      <protection locked="0"/>
    </xf>
    <xf numFmtId="0" fontId="12" fillId="4" borderId="0" xfId="0" applyFont="1" applyFill="1" applyProtection="1">
      <protection locked="0"/>
    </xf>
    <xf numFmtId="9" fontId="0" fillId="4" borderId="0" xfId="1" applyFont="1" applyFill="1" applyProtection="1">
      <protection locked="0"/>
    </xf>
    <xf numFmtId="43" fontId="0" fillId="4" borderId="0" xfId="2" applyFont="1" applyFill="1" applyProtection="1">
      <protection locked="0"/>
    </xf>
    <xf numFmtId="164" fontId="0" fillId="4" borderId="0" xfId="1" applyNumberFormat="1" applyFont="1" applyFill="1" applyProtection="1">
      <protection locked="0"/>
    </xf>
    <xf numFmtId="0" fontId="13" fillId="0" borderId="31" xfId="0" applyFont="1" applyBorder="1" applyAlignment="1" applyProtection="1">
      <alignment horizontal="left" vertical="center" wrapText="1"/>
    </xf>
    <xf numFmtId="0" fontId="13" fillId="4" borderId="31" xfId="0" applyFont="1" applyFill="1" applyBorder="1" applyAlignment="1" applyProtection="1">
      <alignment horizontal="center" wrapText="1"/>
    </xf>
    <xf numFmtId="0" fontId="13" fillId="0" borderId="32" xfId="0" applyFont="1" applyBorder="1" applyAlignment="1" applyProtection="1">
      <alignment horizontal="left" vertical="center" wrapText="1"/>
    </xf>
    <xf numFmtId="0" fontId="13" fillId="4" borderId="23" xfId="0" applyFont="1" applyFill="1" applyBorder="1" applyAlignment="1" applyProtection="1">
      <alignment horizontal="center" wrapText="1"/>
    </xf>
    <xf numFmtId="0" fontId="14" fillId="4" borderId="0" xfId="0" applyFont="1" applyFill="1" applyProtection="1">
      <protection locked="0"/>
    </xf>
    <xf numFmtId="10" fontId="0" fillId="4" borderId="47" xfId="0" applyNumberFormat="1" applyFill="1" applyBorder="1" applyAlignment="1" applyProtection="1">
      <alignment horizontal="center" vertical="center"/>
      <protection locked="0"/>
    </xf>
    <xf numFmtId="43" fontId="10" fillId="0" borderId="49" xfId="2" applyFont="1" applyBorder="1" applyAlignment="1" applyProtection="1">
      <alignment horizontal="center" vertical="center" wrapText="1"/>
    </xf>
    <xf numFmtId="43" fontId="10" fillId="0" borderId="51" xfId="2" applyFont="1" applyBorder="1" applyAlignment="1" applyProtection="1">
      <alignment horizontal="center" vertical="center" wrapText="1"/>
    </xf>
    <xf numFmtId="0" fontId="13" fillId="0" borderId="48" xfId="0" applyFont="1" applyBorder="1" applyAlignment="1" applyProtection="1">
      <alignment horizontal="left" vertical="center" wrapText="1"/>
    </xf>
    <xf numFmtId="0" fontId="13" fillId="0" borderId="50" xfId="0" applyFont="1" applyBorder="1" applyAlignment="1" applyProtection="1">
      <alignment horizontal="left" vertical="center" wrapText="1"/>
    </xf>
    <xf numFmtId="0" fontId="13" fillId="4" borderId="32" xfId="0" applyFont="1" applyFill="1" applyBorder="1" applyAlignment="1" applyProtection="1">
      <alignment horizontal="center" wrapText="1"/>
    </xf>
    <xf numFmtId="17" fontId="7" fillId="3" borderId="55" xfId="0" applyNumberFormat="1" applyFont="1" applyFill="1" applyBorder="1" applyAlignment="1" applyProtection="1">
      <alignment horizontal="center" vertical="center"/>
      <protection locked="0"/>
    </xf>
    <xf numFmtId="17" fontId="7" fillId="3" borderId="56" xfId="0" applyNumberFormat="1" applyFont="1" applyFill="1" applyBorder="1" applyAlignment="1" applyProtection="1">
      <alignment horizontal="center" vertical="center"/>
      <protection locked="0"/>
    </xf>
    <xf numFmtId="0" fontId="9" fillId="4" borderId="0" xfId="0" applyFont="1" applyFill="1" applyBorder="1" applyAlignment="1" applyProtection="1">
      <alignment horizontal="right" vertical="center" wrapText="1"/>
      <protection locked="0"/>
    </xf>
    <xf numFmtId="165" fontId="10" fillId="0" borderId="38" xfId="2" applyNumberFormat="1" applyFont="1" applyBorder="1" applyAlignment="1" applyProtection="1">
      <alignment horizontal="center" vertical="center" wrapText="1"/>
    </xf>
    <xf numFmtId="165" fontId="10" fillId="0" borderId="47" xfId="2" applyNumberFormat="1" applyFont="1" applyBorder="1" applyAlignment="1" applyProtection="1">
      <alignment horizontal="center" vertical="center" wrapText="1"/>
    </xf>
    <xf numFmtId="165" fontId="10" fillId="0" borderId="47" xfId="2" applyNumberFormat="1" applyFont="1" applyBorder="1" applyAlignment="1" applyProtection="1">
      <alignment horizontal="center" vertical="center" wrapText="1"/>
      <protection locked="0"/>
    </xf>
    <xf numFmtId="165" fontId="10" fillId="0" borderId="45" xfId="2" applyNumberFormat="1" applyFont="1" applyBorder="1" applyAlignment="1" applyProtection="1">
      <alignment horizontal="center" vertical="center" wrapText="1"/>
    </xf>
    <xf numFmtId="165" fontId="10" fillId="0" borderId="45" xfId="2" applyNumberFormat="1" applyFont="1" applyBorder="1" applyAlignment="1" applyProtection="1">
      <alignment horizontal="center" vertical="center" wrapText="1"/>
      <protection locked="0"/>
    </xf>
    <xf numFmtId="43" fontId="10" fillId="0" borderId="38" xfId="0" applyNumberFormat="1" applyFont="1" applyBorder="1" applyAlignment="1" applyProtection="1">
      <alignment horizontal="center" vertical="center" wrapText="1"/>
    </xf>
    <xf numFmtId="43" fontId="10" fillId="0" borderId="45" xfId="0" applyNumberFormat="1" applyFont="1" applyBorder="1" applyAlignment="1" applyProtection="1">
      <alignment horizontal="center" vertical="center" wrapText="1"/>
    </xf>
    <xf numFmtId="166" fontId="8" fillId="4" borderId="26" xfId="1" applyNumberFormat="1" applyFont="1" applyFill="1" applyBorder="1" applyAlignment="1" applyProtection="1">
      <alignment horizontal="center" vertical="center" wrapText="1"/>
    </xf>
    <xf numFmtId="0" fontId="16" fillId="4" borderId="0" xfId="0" applyFont="1" applyFill="1" applyAlignment="1" applyProtection="1">
      <alignment vertical="top"/>
      <protection locked="0"/>
    </xf>
    <xf numFmtId="165" fontId="0" fillId="4" borderId="0" xfId="0" applyNumberFormat="1" applyFill="1" applyProtection="1">
      <protection locked="0"/>
    </xf>
    <xf numFmtId="9" fontId="0" fillId="4" borderId="0" xfId="1" applyNumberFormat="1" applyFont="1" applyFill="1" applyProtection="1">
      <protection locked="0"/>
    </xf>
    <xf numFmtId="0" fontId="16" fillId="4" borderId="0" xfId="0" applyFont="1" applyFill="1" applyAlignment="1" applyProtection="1">
      <alignment vertical="top" wrapText="1"/>
      <protection locked="0"/>
    </xf>
    <xf numFmtId="0" fontId="13" fillId="0" borderId="53" xfId="0" applyFont="1" applyBorder="1" applyAlignment="1" applyProtection="1">
      <alignment horizontal="left" vertical="center" wrapText="1"/>
    </xf>
    <xf numFmtId="165" fontId="0" fillId="4" borderId="47" xfId="2" applyNumberFormat="1" applyFont="1" applyFill="1" applyBorder="1" applyAlignment="1" applyProtection="1">
      <alignment horizontal="center" vertical="center"/>
      <protection locked="0"/>
    </xf>
    <xf numFmtId="43" fontId="10" fillId="0" borderId="59" xfId="2" applyFont="1" applyBorder="1" applyAlignment="1" applyProtection="1">
      <alignment horizontal="center" vertical="center" wrapText="1"/>
    </xf>
    <xf numFmtId="43" fontId="10" fillId="0" borderId="60" xfId="2" applyFont="1" applyBorder="1" applyAlignment="1" applyProtection="1">
      <alignment horizontal="center" vertical="center" wrapText="1"/>
    </xf>
    <xf numFmtId="43" fontId="10" fillId="0" borderId="61" xfId="2" applyFont="1" applyBorder="1" applyAlignment="1" applyProtection="1">
      <alignment horizontal="center" vertical="center" wrapText="1"/>
      <protection locked="0"/>
    </xf>
    <xf numFmtId="43" fontId="10" fillId="0" borderId="60" xfId="2" applyFont="1" applyBorder="1" applyAlignment="1" applyProtection="1">
      <alignment horizontal="center" vertical="center" wrapText="1"/>
      <protection locked="0"/>
    </xf>
    <xf numFmtId="0" fontId="10" fillId="0" borderId="61" xfId="0" applyFont="1" applyBorder="1" applyAlignment="1" applyProtection="1">
      <alignment horizontal="center" vertical="center" wrapText="1"/>
      <protection locked="0"/>
    </xf>
    <xf numFmtId="167" fontId="8" fillId="4" borderId="25" xfId="1" applyNumberFormat="1" applyFont="1" applyFill="1" applyBorder="1" applyAlignment="1" applyProtection="1">
      <alignment horizontal="center" vertical="center" wrapText="1"/>
    </xf>
    <xf numFmtId="0" fontId="13" fillId="0" borderId="23" xfId="0" applyFont="1" applyBorder="1" applyAlignment="1" applyProtection="1">
      <alignment horizontal="left" vertical="center" wrapText="1"/>
    </xf>
    <xf numFmtId="10" fontId="13" fillId="4" borderId="23" xfId="0" applyNumberFormat="1" applyFont="1" applyFill="1" applyBorder="1" applyAlignment="1" applyProtection="1">
      <alignment horizontal="center" vertical="center" wrapText="1"/>
    </xf>
    <xf numFmtId="168" fontId="8" fillId="0" borderId="25" xfId="1" applyNumberFormat="1" applyFont="1" applyBorder="1" applyAlignment="1" applyProtection="1">
      <alignment horizontal="center" vertical="center" wrapText="1"/>
    </xf>
    <xf numFmtId="168" fontId="8" fillId="0" borderId="26" xfId="1" applyNumberFormat="1" applyFont="1" applyBorder="1" applyAlignment="1" applyProtection="1">
      <alignment horizontal="center" vertical="center" wrapText="1"/>
    </xf>
    <xf numFmtId="168" fontId="10" fillId="0" borderId="47" xfId="2" applyNumberFormat="1" applyFont="1" applyBorder="1" applyAlignment="1">
      <alignment horizontal="center" wrapText="1"/>
    </xf>
    <xf numFmtId="168" fontId="8" fillId="4" borderId="25" xfId="1" applyNumberFormat="1" applyFont="1" applyFill="1" applyBorder="1" applyAlignment="1" applyProtection="1">
      <alignment horizontal="center" vertical="center" wrapText="1"/>
    </xf>
    <xf numFmtId="168" fontId="8" fillId="4" borderId="26" xfId="1" applyNumberFormat="1" applyFont="1" applyFill="1" applyBorder="1" applyAlignment="1" applyProtection="1">
      <alignment horizontal="center" vertical="center" wrapText="1"/>
    </xf>
    <xf numFmtId="0" fontId="7" fillId="3" borderId="36" xfId="0" applyFont="1" applyFill="1" applyBorder="1" applyAlignment="1" applyProtection="1">
      <alignment horizontal="center" vertical="center" wrapText="1"/>
    </xf>
    <xf numFmtId="0" fontId="7" fillId="3" borderId="4" xfId="0" applyFont="1" applyFill="1" applyBorder="1" applyAlignment="1" applyProtection="1">
      <alignment horizontal="center" vertical="center" wrapText="1"/>
    </xf>
    <xf numFmtId="0" fontId="7" fillId="6" borderId="34" xfId="0" applyFont="1" applyFill="1" applyBorder="1" applyAlignment="1" applyProtection="1">
      <alignment horizontal="center" vertical="center" wrapText="1"/>
    </xf>
    <xf numFmtId="0" fontId="7" fillId="7" borderId="34" xfId="0" applyFont="1" applyFill="1" applyBorder="1" applyAlignment="1" applyProtection="1">
      <alignment horizontal="center" vertical="center" wrapText="1"/>
    </xf>
    <xf numFmtId="0" fontId="7" fillId="3" borderId="35" xfId="0" applyFont="1" applyFill="1" applyBorder="1" applyAlignment="1" applyProtection="1">
      <alignment horizontal="center" vertical="center" wrapText="1"/>
    </xf>
    <xf numFmtId="17" fontId="7" fillId="3" borderId="29" xfId="0" applyNumberFormat="1" applyFont="1" applyFill="1" applyBorder="1" applyAlignment="1" applyProtection="1">
      <alignment horizontal="center" vertical="center" wrapText="1"/>
      <protection locked="0"/>
    </xf>
    <xf numFmtId="17" fontId="7" fillId="3" borderId="26" xfId="0" applyNumberFormat="1" applyFont="1" applyFill="1" applyBorder="1" applyAlignment="1" applyProtection="1">
      <alignment horizontal="center" vertical="center" wrapText="1"/>
      <protection locked="0"/>
    </xf>
    <xf numFmtId="43" fontId="10" fillId="0" borderId="49" xfId="2" applyNumberFormat="1" applyFont="1" applyBorder="1" applyAlignment="1" applyProtection="1">
      <alignment horizontal="center" vertical="center" wrapText="1"/>
    </xf>
    <xf numFmtId="43" fontId="10" fillId="0" borderId="39" xfId="2" applyNumberFormat="1" applyFont="1" applyBorder="1" applyAlignment="1" applyProtection="1">
      <alignment horizontal="center" vertical="center" wrapText="1"/>
    </xf>
    <xf numFmtId="43" fontId="10" fillId="0" borderId="43" xfId="2" applyNumberFormat="1" applyFont="1" applyBorder="1" applyAlignment="1" applyProtection="1">
      <alignment horizontal="center" vertical="center" wrapText="1"/>
    </xf>
    <xf numFmtId="43" fontId="10" fillId="0" borderId="63" xfId="2" applyNumberFormat="1" applyFont="1" applyBorder="1" applyAlignment="1" applyProtection="1">
      <alignment horizontal="center" vertical="center" wrapText="1"/>
    </xf>
    <xf numFmtId="43" fontId="10" fillId="0" borderId="64" xfId="2" applyNumberFormat="1" applyFont="1" applyBorder="1" applyAlignment="1" applyProtection="1">
      <alignment horizontal="center" vertical="center" wrapText="1"/>
    </xf>
    <xf numFmtId="43" fontId="10" fillId="0" borderId="65" xfId="2" applyNumberFormat="1" applyFont="1" applyBorder="1" applyAlignment="1" applyProtection="1">
      <alignment horizontal="center" vertical="center" wrapText="1"/>
    </xf>
    <xf numFmtId="43" fontId="10" fillId="0" borderId="54" xfId="2" applyNumberFormat="1" applyFont="1" applyBorder="1" applyAlignment="1" applyProtection="1">
      <alignment horizontal="center" vertical="center" wrapText="1"/>
    </xf>
    <xf numFmtId="43" fontId="10" fillId="0" borderId="46" xfId="2" applyNumberFormat="1" applyFont="1" applyBorder="1" applyAlignment="1" applyProtection="1">
      <alignment horizontal="center" vertical="center" wrapText="1"/>
    </xf>
    <xf numFmtId="171" fontId="0" fillId="4" borderId="0" xfId="0" applyNumberFormat="1" applyFill="1" applyProtection="1">
      <protection locked="0"/>
    </xf>
    <xf numFmtId="169" fontId="8" fillId="0" borderId="29" xfId="1" applyNumberFormat="1" applyFont="1" applyFill="1" applyBorder="1" applyAlignment="1" applyProtection="1">
      <alignment horizontal="center" vertical="center" wrapText="1"/>
    </xf>
    <xf numFmtId="169" fontId="8" fillId="0" borderId="26" xfId="1" applyNumberFormat="1" applyFont="1" applyFill="1" applyBorder="1" applyAlignment="1" applyProtection="1">
      <alignment horizontal="center" vertical="center" wrapText="1"/>
    </xf>
    <xf numFmtId="165" fontId="10" fillId="4" borderId="49" xfId="2" applyNumberFormat="1" applyFont="1" applyFill="1" applyBorder="1" applyAlignment="1" applyProtection="1">
      <alignment horizontal="center" vertical="center" wrapText="1"/>
    </xf>
    <xf numFmtId="165" fontId="10" fillId="4" borderId="38" xfId="2" applyNumberFormat="1" applyFont="1" applyFill="1" applyBorder="1" applyAlignment="1" applyProtection="1">
      <alignment horizontal="center" vertical="center" wrapText="1"/>
    </xf>
    <xf numFmtId="43" fontId="10" fillId="4" borderId="38" xfId="2" applyFont="1" applyFill="1" applyBorder="1" applyAlignment="1" applyProtection="1">
      <alignment horizontal="center" vertical="center" wrapText="1"/>
    </xf>
    <xf numFmtId="165" fontId="10" fillId="4" borderId="51" xfId="2" applyNumberFormat="1" applyFont="1" applyFill="1" applyBorder="1" applyAlignment="1" applyProtection="1">
      <alignment horizontal="center" vertical="center" wrapText="1"/>
    </xf>
    <xf numFmtId="165" fontId="10" fillId="4" borderId="41" xfId="2" applyNumberFormat="1" applyFont="1" applyFill="1" applyBorder="1" applyAlignment="1" applyProtection="1">
      <alignment horizontal="center" vertical="center" wrapText="1"/>
    </xf>
    <xf numFmtId="43" fontId="10" fillId="4" borderId="41" xfId="2" applyFont="1" applyFill="1" applyBorder="1" applyAlignment="1" applyProtection="1">
      <alignment horizontal="center" vertical="center" wrapText="1"/>
    </xf>
    <xf numFmtId="4" fontId="10" fillId="0" borderId="41" xfId="0" applyNumberFormat="1" applyFont="1" applyBorder="1" applyAlignment="1" applyProtection="1">
      <alignment horizontal="center" vertical="center" wrapText="1"/>
    </xf>
    <xf numFmtId="10" fontId="8" fillId="0" borderId="25" xfId="1" applyNumberFormat="1" applyFont="1" applyBorder="1" applyAlignment="1" applyProtection="1">
      <alignment horizontal="center" vertical="center" wrapText="1"/>
    </xf>
    <xf numFmtId="0" fontId="18" fillId="4" borderId="0" xfId="0" applyFont="1" applyFill="1" applyAlignment="1" applyProtection="1">
      <alignment horizontal="right"/>
    </xf>
    <xf numFmtId="0" fontId="19" fillId="4" borderId="0" xfId="0" applyFont="1" applyFill="1" applyProtection="1"/>
    <xf numFmtId="0" fontId="0" fillId="4" borderId="0" xfId="0" applyFill="1" applyProtection="1"/>
    <xf numFmtId="0" fontId="7" fillId="6" borderId="4" xfId="0" applyFont="1" applyFill="1" applyBorder="1" applyAlignment="1" applyProtection="1">
      <alignment horizontal="center" vertical="center" wrapText="1"/>
    </xf>
    <xf numFmtId="0" fontId="7" fillId="7" borderId="4" xfId="0" applyFont="1" applyFill="1" applyBorder="1" applyAlignment="1" applyProtection="1">
      <alignment horizontal="center" vertical="center" wrapText="1"/>
    </xf>
    <xf numFmtId="173" fontId="6" fillId="4" borderId="0" xfId="0" applyNumberFormat="1" applyFont="1" applyFill="1" applyProtection="1"/>
    <xf numFmtId="0" fontId="20" fillId="4" borderId="0" xfId="0" applyFont="1" applyFill="1" applyProtection="1"/>
    <xf numFmtId="170" fontId="0" fillId="4" borderId="47" xfId="0" applyNumberFormat="1" applyFill="1" applyBorder="1" applyProtection="1"/>
    <xf numFmtId="170" fontId="0" fillId="4" borderId="38" xfId="0" applyNumberFormat="1" applyFill="1" applyBorder="1" applyProtection="1"/>
    <xf numFmtId="174" fontId="0" fillId="4" borderId="0" xfId="0" applyNumberFormat="1" applyFill="1" applyProtection="1">
      <protection locked="0"/>
    </xf>
    <xf numFmtId="172" fontId="17" fillId="4" borderId="0" xfId="0" applyNumberFormat="1" applyFont="1" applyFill="1" applyBorder="1" applyAlignment="1" applyProtection="1">
      <alignment horizontal="center" vertical="center"/>
      <protection locked="0"/>
    </xf>
    <xf numFmtId="0" fontId="8" fillId="4" borderId="0" xfId="0" applyFont="1" applyFill="1" applyBorder="1" applyAlignment="1" applyProtection="1">
      <alignment horizontal="center" vertical="center" wrapText="1"/>
    </xf>
    <xf numFmtId="169" fontId="8" fillId="4" borderId="0" xfId="2" applyNumberFormat="1" applyFont="1" applyFill="1" applyBorder="1" applyAlignment="1" applyProtection="1">
      <alignment horizontal="center" vertical="center" wrapText="1"/>
    </xf>
    <xf numFmtId="10" fontId="8" fillId="4" borderId="0" xfId="0" applyNumberFormat="1" applyFont="1" applyFill="1" applyBorder="1" applyAlignment="1" applyProtection="1">
      <alignment horizontal="center" vertical="center" wrapText="1"/>
    </xf>
    <xf numFmtId="169" fontId="8" fillId="4" borderId="0" xfId="1" applyNumberFormat="1" applyFont="1" applyFill="1" applyBorder="1" applyAlignment="1" applyProtection="1">
      <alignment horizontal="center" vertical="center" wrapText="1"/>
    </xf>
    <xf numFmtId="0" fontId="13" fillId="0" borderId="44" xfId="0" applyFont="1" applyBorder="1" applyAlignment="1" applyProtection="1">
      <alignment horizontal="left" vertical="center" wrapText="1"/>
    </xf>
    <xf numFmtId="0" fontId="13" fillId="4" borderId="24" xfId="0" applyFont="1" applyFill="1" applyBorder="1" applyAlignment="1" applyProtection="1">
      <alignment horizontal="center" wrapText="1"/>
    </xf>
    <xf numFmtId="9" fontId="0" fillId="4" borderId="47" xfId="1" applyFont="1" applyFill="1" applyBorder="1" applyAlignment="1" applyProtection="1">
      <alignment horizontal="center" vertical="center"/>
      <protection locked="0"/>
    </xf>
    <xf numFmtId="0" fontId="7" fillId="7" borderId="35" xfId="0" applyFont="1" applyFill="1" applyBorder="1" applyAlignment="1" applyProtection="1">
      <alignment horizontal="center" vertical="center"/>
    </xf>
    <xf numFmtId="0" fontId="7" fillId="3" borderId="27" xfId="0" applyFont="1" applyFill="1" applyBorder="1" applyAlignment="1" applyProtection="1">
      <alignment horizontal="center" vertical="center"/>
    </xf>
    <xf numFmtId="17" fontId="7" fillId="8" borderId="29" xfId="0" applyNumberFormat="1" applyFont="1" applyFill="1" applyBorder="1" applyAlignment="1" applyProtection="1">
      <alignment horizontal="center" vertical="center"/>
      <protection locked="0"/>
    </xf>
    <xf numFmtId="17" fontId="7" fillId="8" borderId="26" xfId="0" applyNumberFormat="1" applyFont="1" applyFill="1" applyBorder="1" applyAlignment="1" applyProtection="1">
      <alignment horizontal="center" vertical="center"/>
      <protection locked="0"/>
    </xf>
    <xf numFmtId="17" fontId="7" fillId="8" borderId="67" xfId="0" applyNumberFormat="1" applyFont="1" applyFill="1" applyBorder="1" applyAlignment="1" applyProtection="1">
      <alignment horizontal="center" vertical="center"/>
      <protection locked="0"/>
    </xf>
    <xf numFmtId="17" fontId="7" fillId="9" borderId="22" xfId="0" applyNumberFormat="1" applyFont="1" applyFill="1" applyBorder="1" applyAlignment="1" applyProtection="1">
      <alignment horizontal="center" vertical="center"/>
      <protection locked="0"/>
    </xf>
    <xf numFmtId="17" fontId="7" fillId="8" borderId="25" xfId="0" applyNumberFormat="1" applyFont="1" applyFill="1" applyBorder="1" applyAlignment="1" applyProtection="1">
      <alignment horizontal="center" vertical="center"/>
      <protection locked="0"/>
    </xf>
    <xf numFmtId="17" fontId="7" fillId="9" borderId="26" xfId="0" applyNumberFormat="1" applyFont="1" applyFill="1" applyBorder="1" applyAlignment="1" applyProtection="1">
      <alignment horizontal="center" vertical="center"/>
      <protection locked="0"/>
    </xf>
    <xf numFmtId="17" fontId="21" fillId="9" borderId="26" xfId="0" applyNumberFormat="1" applyFont="1" applyFill="1" applyBorder="1" applyAlignment="1" applyProtection="1">
      <alignment horizontal="center" vertical="center"/>
      <protection locked="0"/>
    </xf>
    <xf numFmtId="17" fontId="7" fillId="9" borderId="4" xfId="0" applyNumberFormat="1" applyFont="1" applyFill="1" applyBorder="1" applyAlignment="1" applyProtection="1">
      <alignment horizontal="center" vertical="center"/>
      <protection locked="0"/>
    </xf>
    <xf numFmtId="165" fontId="10" fillId="0" borderId="69" xfId="2" applyNumberFormat="1" applyFont="1" applyBorder="1" applyAlignment="1" applyProtection="1">
      <alignment horizontal="center" vertical="center" wrapText="1"/>
    </xf>
    <xf numFmtId="165" fontId="10" fillId="0" borderId="70" xfId="2" applyNumberFormat="1" applyFont="1" applyBorder="1" applyAlignment="1" applyProtection="1">
      <alignment horizontal="center" vertical="center" wrapText="1"/>
    </xf>
    <xf numFmtId="165" fontId="10" fillId="10" borderId="24" xfId="1" applyNumberFormat="1" applyFont="1" applyFill="1" applyBorder="1" applyAlignment="1" applyProtection="1">
      <alignment horizontal="left" vertical="center" wrapText="1"/>
    </xf>
    <xf numFmtId="165" fontId="10" fillId="0" borderId="71" xfId="2" applyNumberFormat="1" applyFont="1" applyBorder="1" applyAlignment="1" applyProtection="1">
      <alignment horizontal="center" vertical="center" wrapText="1"/>
    </xf>
    <xf numFmtId="165" fontId="10" fillId="0" borderId="72" xfId="2" applyNumberFormat="1" applyFont="1" applyBorder="1" applyAlignment="1" applyProtection="1">
      <alignment horizontal="center" vertical="center" wrapText="1"/>
    </xf>
    <xf numFmtId="165" fontId="10" fillId="10" borderId="73" xfId="2" applyNumberFormat="1" applyFont="1" applyFill="1" applyBorder="1" applyAlignment="1" applyProtection="1">
      <alignment horizontal="center" vertical="center" wrapText="1"/>
    </xf>
    <xf numFmtId="165" fontId="10" fillId="0" borderId="70" xfId="2" applyNumberFormat="1" applyFont="1" applyBorder="1" applyAlignment="1" applyProtection="1">
      <alignment horizontal="center" vertical="center" wrapText="1"/>
      <protection locked="0"/>
    </xf>
    <xf numFmtId="165" fontId="10" fillId="9" borderId="63" xfId="2" applyNumberFormat="1" applyFont="1" applyFill="1" applyBorder="1" applyAlignment="1" applyProtection="1">
      <alignment horizontal="left" vertical="center" wrapText="1"/>
    </xf>
    <xf numFmtId="165" fontId="10" fillId="9" borderId="64" xfId="2" applyNumberFormat="1" applyFont="1" applyFill="1" applyBorder="1" applyAlignment="1" applyProtection="1">
      <alignment horizontal="left" vertical="center" wrapText="1"/>
    </xf>
    <xf numFmtId="165" fontId="10" fillId="9" borderId="65" xfId="2" applyNumberFormat="1" applyFont="1" applyFill="1" applyBorder="1" applyAlignment="1" applyProtection="1">
      <alignment horizontal="left" vertical="center" wrapText="1"/>
    </xf>
    <xf numFmtId="165" fontId="10" fillId="9" borderId="24" xfId="0" applyNumberFormat="1" applyFont="1" applyFill="1" applyBorder="1" applyAlignment="1" applyProtection="1">
      <alignment horizontal="left" vertical="center" wrapText="1"/>
    </xf>
    <xf numFmtId="165" fontId="10" fillId="9" borderId="74" xfId="2" applyNumberFormat="1" applyFont="1" applyFill="1" applyBorder="1" applyAlignment="1" applyProtection="1">
      <alignment horizontal="left" vertical="center" wrapText="1"/>
    </xf>
    <xf numFmtId="165" fontId="10" fillId="9" borderId="75" xfId="2" applyNumberFormat="1" applyFont="1" applyFill="1" applyBorder="1" applyAlignment="1" applyProtection="1">
      <alignment horizontal="left" vertical="center" wrapText="1"/>
    </xf>
    <xf numFmtId="165" fontId="10" fillId="0" borderId="63" xfId="2" applyNumberFormat="1" applyFont="1" applyBorder="1" applyAlignment="1" applyProtection="1">
      <alignment horizontal="left" vertical="center" wrapText="1"/>
    </xf>
    <xf numFmtId="165" fontId="10" fillId="0" borderId="64" xfId="2" applyNumberFormat="1" applyFont="1" applyBorder="1" applyAlignment="1" applyProtection="1">
      <alignment horizontal="left" vertical="center" wrapText="1"/>
    </xf>
    <xf numFmtId="165" fontId="10" fillId="0" borderId="75" xfId="2" applyNumberFormat="1" applyFont="1" applyBorder="1" applyAlignment="1" applyProtection="1">
      <alignment horizontal="left" vertical="center" wrapText="1"/>
    </xf>
    <xf numFmtId="165" fontId="10" fillId="10" borderId="24" xfId="0" applyNumberFormat="1" applyFont="1" applyFill="1" applyBorder="1" applyAlignment="1" applyProtection="1">
      <alignment horizontal="left" vertical="center" wrapText="1"/>
    </xf>
    <xf numFmtId="165" fontId="10" fillId="0" borderId="74" xfId="2" applyNumberFormat="1" applyFont="1" applyBorder="1" applyAlignment="1" applyProtection="1">
      <alignment horizontal="left" vertical="center" wrapText="1"/>
    </xf>
    <xf numFmtId="165" fontId="10" fillId="0" borderId="65" xfId="2" applyNumberFormat="1" applyFont="1" applyBorder="1" applyAlignment="1" applyProtection="1">
      <alignment horizontal="left" vertical="center" wrapText="1"/>
      <protection locked="0"/>
    </xf>
    <xf numFmtId="165" fontId="10" fillId="0" borderId="54" xfId="2" applyNumberFormat="1" applyFont="1" applyBorder="1" applyAlignment="1" applyProtection="1">
      <alignment horizontal="center" vertical="center" wrapText="1"/>
    </xf>
    <xf numFmtId="165" fontId="10" fillId="0" borderId="46" xfId="2" applyNumberFormat="1" applyFont="1" applyBorder="1" applyAlignment="1" applyProtection="1">
      <alignment horizontal="center" vertical="center" wrapText="1"/>
    </xf>
    <xf numFmtId="165" fontId="10" fillId="10" borderId="22" xfId="1" applyNumberFormat="1" applyFont="1" applyFill="1" applyBorder="1" applyAlignment="1" applyProtection="1">
      <alignment horizontal="left" vertical="center" wrapText="1"/>
    </xf>
    <xf numFmtId="165" fontId="10" fillId="0" borderId="76" xfId="2" applyNumberFormat="1" applyFont="1" applyBorder="1" applyAlignment="1" applyProtection="1">
      <alignment horizontal="center" vertical="center" wrapText="1"/>
    </xf>
    <xf numFmtId="165" fontId="10" fillId="0" borderId="77" xfId="2" applyNumberFormat="1" applyFont="1" applyBorder="1" applyAlignment="1" applyProtection="1">
      <alignment horizontal="center" vertical="center" wrapText="1"/>
    </xf>
    <xf numFmtId="10" fontId="8" fillId="0" borderId="29" xfId="1" applyNumberFormat="1" applyFont="1" applyBorder="1" applyAlignment="1" applyProtection="1">
      <alignment horizontal="center" vertical="center" wrapText="1"/>
    </xf>
    <xf numFmtId="10" fontId="8" fillId="0" borderId="30" xfId="1" applyNumberFormat="1" applyFont="1" applyBorder="1" applyAlignment="1" applyProtection="1">
      <alignment horizontal="center" vertical="center" wrapText="1"/>
    </xf>
    <xf numFmtId="10" fontId="8" fillId="0" borderId="78" xfId="1" applyNumberFormat="1" applyFont="1" applyBorder="1" applyAlignment="1" applyProtection="1">
      <alignment horizontal="center" vertical="center" wrapText="1"/>
    </xf>
    <xf numFmtId="10" fontId="8" fillId="0" borderId="67" xfId="1" applyNumberFormat="1" applyFont="1" applyBorder="1" applyAlignment="1" applyProtection="1">
      <alignment horizontal="center" vertical="center" wrapText="1"/>
    </xf>
    <xf numFmtId="10" fontId="8" fillId="0" borderId="4" xfId="1" applyNumberFormat="1" applyFont="1" applyBorder="1" applyAlignment="1" applyProtection="1">
      <alignment horizontal="center" vertical="center" wrapText="1"/>
    </xf>
    <xf numFmtId="0" fontId="10" fillId="0" borderId="59" xfId="0" applyFont="1" applyBorder="1" applyAlignment="1" applyProtection="1">
      <alignment horizontal="center" vertical="center" wrapText="1"/>
    </xf>
    <xf numFmtId="0" fontId="10" fillId="4" borderId="60" xfId="0" applyFont="1" applyFill="1" applyBorder="1" applyAlignment="1" applyProtection="1">
      <alignment horizontal="center" vertical="center" wrapText="1"/>
    </xf>
    <xf numFmtId="0" fontId="10" fillId="4" borderId="61" xfId="0" applyFont="1" applyFill="1" applyBorder="1" applyAlignment="1" applyProtection="1">
      <alignment horizontal="center" vertical="center" wrapText="1"/>
    </xf>
    <xf numFmtId="0" fontId="10" fillId="10" borderId="4" xfId="0" applyFont="1" applyFill="1" applyBorder="1" applyAlignment="1" applyProtection="1">
      <alignment horizontal="center" vertical="center" wrapText="1"/>
    </xf>
    <xf numFmtId="0" fontId="10" fillId="0" borderId="79" xfId="0" applyFont="1" applyBorder="1" applyAlignment="1" applyProtection="1">
      <alignment horizontal="center" vertical="center" wrapText="1"/>
    </xf>
    <xf numFmtId="0" fontId="10" fillId="0" borderId="60" xfId="0" applyFont="1" applyBorder="1" applyAlignment="1" applyProtection="1">
      <alignment horizontal="center" vertical="center" wrapText="1"/>
    </xf>
    <xf numFmtId="0" fontId="10" fillId="0" borderId="61" xfId="0" applyFont="1" applyBorder="1" applyAlignment="1" applyProtection="1">
      <alignment horizontal="center" vertical="center" wrapText="1"/>
    </xf>
    <xf numFmtId="0" fontId="10" fillId="0" borderId="79" xfId="0" applyFont="1" applyBorder="1" applyAlignment="1" applyProtection="1">
      <alignment horizontal="center" vertical="center" wrapText="1"/>
      <protection locked="0"/>
    </xf>
    <xf numFmtId="0" fontId="10" fillId="0" borderId="60" xfId="0" applyFont="1" applyBorder="1" applyAlignment="1" applyProtection="1">
      <alignment horizontal="center" vertical="center" wrapText="1"/>
      <protection locked="0"/>
    </xf>
    <xf numFmtId="0" fontId="8" fillId="0" borderId="29" xfId="1" applyNumberFormat="1" applyFont="1" applyBorder="1" applyAlignment="1" applyProtection="1">
      <alignment horizontal="center" vertical="center" wrapText="1"/>
    </xf>
    <xf numFmtId="0" fontId="8" fillId="0" borderId="26" xfId="1" applyNumberFormat="1" applyFont="1" applyBorder="1" applyAlignment="1" applyProtection="1">
      <alignment horizontal="center" vertical="center" wrapText="1"/>
    </xf>
    <xf numFmtId="0" fontId="8" fillId="0" borderId="67" xfId="1" applyNumberFormat="1" applyFont="1" applyBorder="1" applyAlignment="1" applyProtection="1">
      <alignment horizontal="center" vertical="center" wrapText="1"/>
    </xf>
    <xf numFmtId="0" fontId="8" fillId="4" borderId="4" xfId="1" applyNumberFormat="1" applyFont="1" applyFill="1" applyBorder="1" applyAlignment="1" applyProtection="1">
      <alignment horizontal="center" vertical="center" wrapText="1"/>
    </xf>
    <xf numFmtId="0" fontId="8" fillId="0" borderId="25" xfId="1" applyNumberFormat="1" applyFont="1" applyBorder="1" applyAlignment="1" applyProtection="1">
      <alignment horizontal="center" vertical="center" wrapText="1"/>
    </xf>
    <xf numFmtId="0" fontId="8" fillId="10" borderId="4" xfId="1" applyNumberFormat="1" applyFont="1" applyFill="1" applyBorder="1" applyAlignment="1" applyProtection="1">
      <alignment horizontal="center" vertical="center" wrapText="1"/>
    </xf>
    <xf numFmtId="175" fontId="0" fillId="4" borderId="0" xfId="1" applyNumberFormat="1" applyFont="1" applyFill="1" applyProtection="1">
      <protection locked="0"/>
    </xf>
    <xf numFmtId="0" fontId="20" fillId="4" borderId="0" xfId="0" applyFont="1" applyFill="1" applyProtection="1">
      <protection locked="0"/>
    </xf>
    <xf numFmtId="10" fontId="0" fillId="4" borderId="0" xfId="1" applyNumberFormat="1" applyFont="1" applyFill="1" applyProtection="1">
      <protection locked="0"/>
    </xf>
    <xf numFmtId="0" fontId="13" fillId="0" borderId="57" xfId="0" applyFont="1" applyBorder="1" applyAlignment="1" applyProtection="1">
      <alignment horizontal="left" vertical="center" wrapText="1"/>
    </xf>
    <xf numFmtId="0" fontId="13" fillId="0" borderId="68" xfId="0" applyFont="1" applyBorder="1" applyAlignment="1" applyProtection="1">
      <alignment horizontal="right" vertical="center" wrapText="1"/>
    </xf>
    <xf numFmtId="0" fontId="13" fillId="4" borderId="31" xfId="0" applyFont="1" applyFill="1" applyBorder="1" applyAlignment="1" applyProtection="1">
      <alignment horizontal="right" vertical="center" wrapText="1"/>
    </xf>
    <xf numFmtId="0" fontId="13" fillId="4" borderId="32" xfId="0" applyFont="1" applyFill="1" applyBorder="1" applyAlignment="1" applyProtection="1">
      <alignment horizontal="right" vertical="center" wrapText="1"/>
    </xf>
    <xf numFmtId="0" fontId="13" fillId="0" borderId="68" xfId="0" applyFont="1" applyBorder="1" applyAlignment="1" applyProtection="1">
      <alignment horizontal="left" vertical="center" wrapText="1"/>
    </xf>
    <xf numFmtId="0" fontId="13" fillId="4" borderId="73" xfId="0" applyFont="1" applyFill="1" applyBorder="1" applyAlignment="1" applyProtection="1">
      <alignment horizontal="left" vertical="center" wrapText="1"/>
    </xf>
    <xf numFmtId="0" fontId="22" fillId="4" borderId="0" xfId="0" applyFont="1" applyFill="1" applyAlignment="1" applyProtection="1">
      <alignment vertical="top" wrapText="1"/>
      <protection locked="0"/>
    </xf>
    <xf numFmtId="0" fontId="7" fillId="3" borderId="36" xfId="0" applyFont="1" applyFill="1" applyBorder="1" applyAlignment="1" applyProtection="1">
      <alignment horizontal="center" vertical="center"/>
      <protection locked="0"/>
    </xf>
    <xf numFmtId="0" fontId="7" fillId="3" borderId="4" xfId="0" applyFont="1" applyFill="1" applyBorder="1" applyAlignment="1" applyProtection="1">
      <alignment horizontal="center" vertical="center"/>
      <protection locked="0"/>
    </xf>
    <xf numFmtId="0" fontId="7" fillId="6" borderId="34" xfId="0" applyFont="1" applyFill="1" applyBorder="1" applyAlignment="1" applyProtection="1">
      <alignment horizontal="center" vertical="center"/>
      <protection locked="0"/>
    </xf>
    <xf numFmtId="0" fontId="7" fillId="7" borderId="34" xfId="0" applyFont="1" applyFill="1" applyBorder="1" applyAlignment="1" applyProtection="1">
      <alignment horizontal="center" vertical="center"/>
      <protection locked="0"/>
    </xf>
    <xf numFmtId="0" fontId="7" fillId="3" borderId="35" xfId="0" applyFont="1" applyFill="1" applyBorder="1" applyAlignment="1" applyProtection="1">
      <alignment horizontal="center" vertical="center"/>
      <protection locked="0"/>
    </xf>
    <xf numFmtId="176" fontId="10" fillId="0" borderId="37" xfId="1" applyNumberFormat="1" applyFont="1" applyBorder="1" applyAlignment="1" applyProtection="1">
      <alignment horizontal="center" vertical="center" wrapText="1"/>
    </xf>
    <xf numFmtId="176" fontId="10" fillId="0" borderId="38" xfId="1" applyNumberFormat="1" applyFont="1" applyBorder="1" applyAlignment="1" applyProtection="1">
      <alignment horizontal="center" vertical="center" wrapText="1"/>
    </xf>
    <xf numFmtId="175" fontId="10" fillId="0" borderId="39" xfId="1" applyNumberFormat="1" applyFont="1" applyBorder="1" applyAlignment="1" applyProtection="1">
      <alignment horizontal="center" vertical="center" wrapText="1"/>
    </xf>
    <xf numFmtId="175" fontId="10" fillId="0" borderId="43" xfId="1" applyNumberFormat="1" applyFont="1" applyBorder="1" applyAlignment="1" applyProtection="1">
      <alignment horizontal="center" vertical="center" wrapText="1"/>
    </xf>
    <xf numFmtId="175" fontId="10" fillId="0" borderId="38" xfId="1" applyNumberFormat="1" applyFont="1" applyBorder="1" applyAlignment="1" applyProtection="1">
      <alignment horizontal="center" vertical="center" wrapText="1"/>
    </xf>
    <xf numFmtId="175" fontId="10" fillId="0" borderId="38" xfId="1" applyNumberFormat="1" applyFont="1" applyBorder="1" applyAlignment="1" applyProtection="1">
      <alignment horizontal="center" vertical="center" wrapText="1"/>
      <protection locked="0"/>
    </xf>
    <xf numFmtId="0" fontId="10" fillId="0" borderId="39" xfId="0" applyNumberFormat="1" applyFont="1" applyBorder="1" applyAlignment="1" applyProtection="1">
      <alignment horizontal="center" vertical="center" wrapText="1"/>
      <protection locked="0"/>
    </xf>
    <xf numFmtId="0" fontId="24" fillId="0" borderId="74" xfId="1" applyNumberFormat="1" applyFont="1" applyBorder="1" applyAlignment="1" applyProtection="1">
      <alignment horizontal="center" vertical="center" wrapText="1"/>
    </xf>
    <xf numFmtId="0" fontId="24" fillId="0" borderId="64" xfId="1" applyNumberFormat="1" applyFont="1" applyBorder="1" applyAlignment="1" applyProtection="1">
      <alignment horizontal="center" vertical="center" wrapText="1"/>
    </xf>
    <xf numFmtId="0" fontId="6" fillId="4" borderId="0" xfId="0" applyFont="1" applyFill="1" applyProtection="1">
      <protection locked="0"/>
    </xf>
    <xf numFmtId="0" fontId="20" fillId="4" borderId="0" xfId="0" applyFont="1" applyFill="1" applyAlignment="1" applyProtection="1">
      <alignment horizontal="left" indent="2"/>
      <protection locked="0"/>
    </xf>
    <xf numFmtId="0" fontId="15" fillId="0" borderId="31" xfId="0" applyFont="1" applyBorder="1" applyAlignment="1" applyProtection="1">
      <alignment horizontal="center" vertical="center" wrapText="1"/>
    </xf>
    <xf numFmtId="0" fontId="13" fillId="4" borderId="31" xfId="0" applyFont="1" applyFill="1" applyBorder="1" applyAlignment="1" applyProtection="1">
      <alignment horizontal="center" vertical="center" wrapText="1"/>
    </xf>
    <xf numFmtId="0" fontId="13" fillId="0" borderId="73" xfId="0" applyFont="1" applyBorder="1" applyAlignment="1" applyProtection="1">
      <alignment horizontal="center" vertical="center" wrapText="1"/>
    </xf>
    <xf numFmtId="10" fontId="0" fillId="4" borderId="47" xfId="1" applyNumberFormat="1" applyFont="1" applyFill="1" applyBorder="1" applyAlignment="1" applyProtection="1">
      <alignment horizontal="center" vertical="center"/>
      <protection locked="0"/>
    </xf>
    <xf numFmtId="0" fontId="0" fillId="4" borderId="0" xfId="0" applyFill="1"/>
    <xf numFmtId="175" fontId="8" fillId="0" borderId="26" xfId="1" applyNumberFormat="1" applyFont="1" applyBorder="1" applyAlignment="1" applyProtection="1">
      <alignment horizontal="center" vertical="center" wrapText="1"/>
    </xf>
    <xf numFmtId="0" fontId="0" fillId="4" borderId="0" xfId="0" applyFill="1" applyBorder="1"/>
    <xf numFmtId="10" fontId="8" fillId="4" borderId="0" xfId="0" applyNumberFormat="1" applyFont="1" applyFill="1" applyBorder="1" applyAlignment="1" applyProtection="1">
      <alignment vertical="center" wrapText="1"/>
    </xf>
    <xf numFmtId="0" fontId="7" fillId="3" borderId="55" xfId="0" applyFont="1" applyFill="1" applyBorder="1" applyAlignment="1" applyProtection="1">
      <alignment horizontal="center" vertical="center"/>
      <protection locked="0"/>
    </xf>
    <xf numFmtId="0" fontId="7" fillId="3" borderId="56" xfId="0" applyFont="1" applyFill="1" applyBorder="1" applyAlignment="1" applyProtection="1">
      <alignment horizontal="center" vertical="center"/>
      <protection locked="0"/>
    </xf>
    <xf numFmtId="0" fontId="7" fillId="3" borderId="80" xfId="0" applyFont="1" applyFill="1" applyBorder="1" applyAlignment="1" applyProtection="1">
      <alignment horizontal="center" vertical="center"/>
      <protection locked="0"/>
    </xf>
    <xf numFmtId="0" fontId="0" fillId="4" borderId="29" xfId="0" applyFill="1" applyBorder="1" applyAlignment="1">
      <alignment wrapText="1"/>
    </xf>
    <xf numFmtId="175" fontId="0" fillId="4" borderId="26" xfId="0" applyNumberFormat="1" applyFill="1" applyBorder="1" applyAlignment="1">
      <alignment horizontal="center" vertical="center" wrapText="1"/>
    </xf>
    <xf numFmtId="175" fontId="8" fillId="0" borderId="25" xfId="1" applyNumberFormat="1" applyFont="1" applyBorder="1" applyAlignment="1" applyProtection="1">
      <alignment horizontal="center" vertical="center" wrapText="1"/>
    </xf>
    <xf numFmtId="175" fontId="8" fillId="0" borderId="30" xfId="1" applyNumberFormat="1" applyFont="1" applyBorder="1" applyAlignment="1" applyProtection="1">
      <alignment horizontal="center" vertical="center" wrapText="1"/>
    </xf>
    <xf numFmtId="10" fontId="10" fillId="0" borderId="30" xfId="0" applyNumberFormat="1" applyFont="1" applyBorder="1" applyAlignment="1" applyProtection="1">
      <alignment horizontal="center" vertical="center" wrapText="1"/>
    </xf>
    <xf numFmtId="0" fontId="7" fillId="3" borderId="29" xfId="0" applyFont="1" applyFill="1" applyBorder="1" applyAlignment="1" applyProtection="1">
      <alignment horizontal="center" vertical="center"/>
      <protection locked="0"/>
    </xf>
    <xf numFmtId="0" fontId="7" fillId="6" borderId="26" xfId="0" applyFont="1" applyFill="1" applyBorder="1" applyAlignment="1" applyProtection="1">
      <alignment horizontal="center" vertical="center"/>
      <protection locked="0"/>
    </xf>
    <xf numFmtId="0" fontId="7" fillId="7" borderId="26" xfId="0" applyFont="1" applyFill="1" applyBorder="1" applyAlignment="1" applyProtection="1">
      <alignment horizontal="center" vertical="center"/>
      <protection locked="0"/>
    </xf>
    <xf numFmtId="0" fontId="7" fillId="3" borderId="30" xfId="0" applyFont="1" applyFill="1" applyBorder="1" applyAlignment="1" applyProtection="1">
      <alignment horizontal="center" vertical="center"/>
    </xf>
    <xf numFmtId="0" fontId="13" fillId="0" borderId="66" xfId="0" applyFont="1" applyBorder="1" applyAlignment="1" applyProtection="1">
      <alignment horizontal="left" vertical="center" wrapText="1"/>
    </xf>
    <xf numFmtId="0" fontId="13" fillId="4" borderId="33" xfId="0" applyFont="1" applyFill="1" applyBorder="1" applyAlignment="1" applyProtection="1">
      <alignment horizontal="center" wrapText="1"/>
    </xf>
    <xf numFmtId="17" fontId="7" fillId="3" borderId="30" xfId="0" applyNumberFormat="1" applyFont="1" applyFill="1" applyBorder="1" applyAlignment="1" applyProtection="1">
      <alignment horizontal="center" vertical="center" wrapText="1"/>
      <protection locked="0"/>
    </xf>
    <xf numFmtId="43" fontId="10" fillId="0" borderId="81" xfId="2" applyNumberFormat="1" applyFont="1" applyBorder="1" applyAlignment="1" applyProtection="1">
      <alignment horizontal="center" vertical="center" wrapText="1"/>
      <protection locked="0"/>
    </xf>
    <xf numFmtId="43" fontId="10" fillId="0" borderId="75" xfId="2" applyNumberFormat="1" applyFont="1" applyBorder="1" applyAlignment="1" applyProtection="1">
      <alignment horizontal="center" vertical="center" wrapText="1"/>
      <protection locked="0"/>
    </xf>
    <xf numFmtId="43" fontId="10" fillId="0" borderId="77" xfId="2" applyNumberFormat="1" applyFont="1" applyBorder="1" applyAlignment="1" applyProtection="1">
      <alignment horizontal="center" vertical="center" wrapText="1"/>
      <protection locked="0"/>
    </xf>
    <xf numFmtId="169" fontId="8" fillId="0" borderId="30" xfId="1" applyNumberFormat="1" applyFont="1" applyFill="1" applyBorder="1" applyAlignment="1" applyProtection="1">
      <alignment horizontal="center" vertical="center" wrapText="1"/>
    </xf>
    <xf numFmtId="170" fontId="0" fillId="4" borderId="47" xfId="0" applyNumberFormat="1" applyFont="1" applyFill="1" applyBorder="1" applyAlignment="1" applyProtection="1">
      <alignment horizontal="right"/>
    </xf>
    <xf numFmtId="170" fontId="0" fillId="4" borderId="38" xfId="0" applyNumberFormat="1" applyFont="1" applyFill="1" applyBorder="1" applyAlignment="1" applyProtection="1">
      <alignment horizontal="right"/>
    </xf>
    <xf numFmtId="0" fontId="1" fillId="4" borderId="3" xfId="0" applyFont="1" applyFill="1" applyBorder="1" applyAlignment="1">
      <alignment horizontal="center" vertical="center" wrapText="1" readingOrder="1"/>
    </xf>
    <xf numFmtId="0" fontId="3" fillId="4" borderId="8" xfId="0" applyFont="1" applyFill="1" applyBorder="1" applyAlignment="1">
      <alignment horizontal="center" vertical="center" wrapText="1" readingOrder="1"/>
    </xf>
    <xf numFmtId="0" fontId="3" fillId="4" borderId="10" xfId="0" applyFont="1" applyFill="1" applyBorder="1" applyAlignment="1">
      <alignment horizontal="center" vertical="center" wrapText="1" readingOrder="1"/>
    </xf>
    <xf numFmtId="0" fontId="3" fillId="4" borderId="13" xfId="0" applyFont="1" applyFill="1" applyBorder="1" applyAlignment="1">
      <alignment horizontal="center" vertical="center" wrapText="1" readingOrder="1"/>
    </xf>
    <xf numFmtId="0" fontId="3" fillId="4" borderId="18" xfId="0" applyFont="1" applyFill="1" applyBorder="1" applyAlignment="1">
      <alignment horizontal="center" vertical="center" wrapText="1" readingOrder="1"/>
    </xf>
    <xf numFmtId="0" fontId="1" fillId="0" borderId="82" xfId="0" applyFont="1" applyFill="1" applyBorder="1" applyAlignment="1">
      <alignment horizontal="center" vertical="center" wrapText="1" readingOrder="1"/>
    </xf>
    <xf numFmtId="0" fontId="1" fillId="4" borderId="18" xfId="0" applyFont="1" applyFill="1" applyBorder="1" applyAlignment="1">
      <alignment horizontal="center" vertical="center" wrapText="1" readingOrder="1"/>
    </xf>
    <xf numFmtId="10" fontId="8" fillId="0" borderId="23" xfId="0" applyNumberFormat="1" applyFont="1" applyBorder="1" applyAlignment="1" applyProtection="1">
      <alignment horizontal="center" vertical="center" wrapText="1"/>
    </xf>
    <xf numFmtId="0" fontId="8" fillId="0" borderId="23" xfId="0" applyFont="1" applyBorder="1" applyAlignment="1" applyProtection="1">
      <alignment horizontal="center" vertical="center" wrapText="1"/>
    </xf>
    <xf numFmtId="0" fontId="3" fillId="2" borderId="5" xfId="0" applyFont="1" applyFill="1" applyBorder="1" applyAlignment="1">
      <alignment horizontal="left" vertical="center" wrapText="1" indent="1" readingOrder="1"/>
    </xf>
    <xf numFmtId="10" fontId="3" fillId="2" borderId="1" xfId="0" applyNumberFormat="1" applyFont="1" applyFill="1" applyBorder="1" applyAlignment="1">
      <alignment horizontal="center" vertical="center" wrapText="1" readingOrder="1"/>
    </xf>
    <xf numFmtId="0" fontId="3" fillId="2" borderId="10" xfId="0" applyFont="1" applyFill="1" applyBorder="1" applyAlignment="1">
      <alignment horizontal="left" vertical="top" wrapText="1" readingOrder="1"/>
    </xf>
    <xf numFmtId="0" fontId="3" fillId="2" borderId="18" xfId="0" applyFont="1" applyFill="1" applyBorder="1" applyAlignment="1">
      <alignment horizontal="left" vertical="top" wrapText="1" readingOrder="1"/>
    </xf>
    <xf numFmtId="0" fontId="1" fillId="0" borderId="6" xfId="0" applyFont="1" applyFill="1" applyBorder="1" applyAlignment="1">
      <alignment horizontal="center" vertical="center" wrapText="1" readingOrder="1"/>
    </xf>
    <xf numFmtId="0" fontId="3" fillId="0" borderId="20" xfId="0" applyFont="1" applyFill="1" applyBorder="1" applyAlignment="1">
      <alignment horizontal="left" vertical="center" wrapText="1" indent="1" readingOrder="1"/>
    </xf>
    <xf numFmtId="10" fontId="3" fillId="0" borderId="12" xfId="1" applyNumberFormat="1" applyFont="1" applyFill="1" applyBorder="1" applyAlignment="1">
      <alignment horizontal="center" vertical="center" wrapText="1" readingOrder="1"/>
    </xf>
    <xf numFmtId="0" fontId="3" fillId="0" borderId="8" xfId="0" applyFont="1" applyFill="1" applyBorder="1" applyAlignment="1">
      <alignment horizontal="left" vertical="top" wrapText="1" readingOrder="1"/>
    </xf>
    <xf numFmtId="0" fontId="3" fillId="0" borderId="19" xfId="0" applyFont="1" applyFill="1" applyBorder="1" applyAlignment="1">
      <alignment horizontal="left" vertical="center" wrapText="1" indent="1" readingOrder="1"/>
    </xf>
    <xf numFmtId="0" fontId="3" fillId="0" borderId="7" xfId="0" applyFont="1" applyFill="1" applyBorder="1" applyAlignment="1">
      <alignment horizontal="left" vertical="top" wrapText="1" readingOrder="1"/>
    </xf>
    <xf numFmtId="0" fontId="3" fillId="0" borderId="5" xfId="0" applyFont="1" applyFill="1" applyBorder="1" applyAlignment="1">
      <alignment horizontal="left" vertical="center" wrapText="1" indent="1" readingOrder="1"/>
    </xf>
    <xf numFmtId="0" fontId="3" fillId="0" borderId="1" xfId="0" applyFont="1" applyFill="1" applyBorder="1" applyAlignment="1">
      <alignment horizontal="left" vertical="top" wrapText="1"/>
    </xf>
    <xf numFmtId="0" fontId="3" fillId="0" borderId="12" xfId="0" applyFont="1" applyFill="1" applyBorder="1" applyAlignment="1">
      <alignment horizontal="left" vertical="top" wrapText="1"/>
    </xf>
    <xf numFmtId="10" fontId="3" fillId="0" borderId="7" xfId="1" applyNumberFormat="1" applyFont="1" applyFill="1" applyBorder="1" applyAlignment="1">
      <alignment horizontal="center" vertical="center" wrapText="1" readingOrder="1"/>
    </xf>
    <xf numFmtId="10" fontId="3" fillId="0" borderId="1" xfId="1" applyNumberFormat="1" applyFont="1" applyFill="1" applyBorder="1" applyAlignment="1">
      <alignment horizontal="center" vertical="center" wrapText="1" readingOrder="1"/>
    </xf>
    <xf numFmtId="0" fontId="3" fillId="0" borderId="13" xfId="0" applyFont="1" applyFill="1" applyBorder="1" applyAlignment="1">
      <alignment horizontal="left" vertical="top" wrapText="1" readingOrder="1"/>
    </xf>
    <xf numFmtId="0" fontId="3" fillId="2" borderId="12" xfId="0" applyFont="1" applyFill="1" applyBorder="1" applyAlignment="1">
      <alignment horizontal="left" vertical="top" wrapText="1" readingOrder="1"/>
    </xf>
    <xf numFmtId="0" fontId="3" fillId="0" borderId="21" xfId="0" applyFont="1" applyFill="1" applyBorder="1" applyAlignment="1">
      <alignment horizontal="left" vertical="center" wrapText="1" indent="1" readingOrder="1"/>
    </xf>
    <xf numFmtId="0" fontId="3" fillId="0" borderId="17" xfId="0" applyFont="1" applyFill="1" applyBorder="1" applyAlignment="1">
      <alignment horizontal="left" vertical="top" wrapText="1" readingOrder="1"/>
    </xf>
    <xf numFmtId="9" fontId="0" fillId="4" borderId="26" xfId="0" applyNumberFormat="1" applyFill="1" applyBorder="1" applyAlignment="1">
      <alignment horizontal="center" vertical="center" wrapText="1"/>
    </xf>
    <xf numFmtId="0" fontId="0" fillId="4" borderId="29" xfId="0" applyFill="1" applyBorder="1" applyAlignment="1">
      <alignment vertical="top" wrapText="1"/>
    </xf>
    <xf numFmtId="10" fontId="0" fillId="4" borderId="0" xfId="0" applyNumberFormat="1" applyFill="1" applyBorder="1" applyAlignment="1" applyProtection="1">
      <alignment horizontal="center" vertical="center"/>
      <protection locked="0"/>
    </xf>
    <xf numFmtId="0" fontId="3" fillId="2" borderId="18" xfId="0" applyFont="1" applyFill="1" applyBorder="1" applyAlignment="1">
      <alignment horizontal="center" vertical="center" wrapText="1" readingOrder="1"/>
    </xf>
    <xf numFmtId="0" fontId="21" fillId="7" borderId="47" xfId="0" applyFont="1" applyFill="1" applyBorder="1" applyAlignment="1">
      <alignment horizontal="center"/>
    </xf>
    <xf numFmtId="0" fontId="4" fillId="11" borderId="47" xfId="3" applyBorder="1"/>
    <xf numFmtId="0" fontId="4" fillId="11" borderId="47" xfId="3" applyBorder="1" applyAlignment="1">
      <alignment horizontal="center"/>
    </xf>
    <xf numFmtId="10" fontId="4" fillId="11" borderId="47" xfId="3" applyNumberFormat="1" applyBorder="1" applyAlignment="1">
      <alignment horizontal="center"/>
    </xf>
    <xf numFmtId="9" fontId="4" fillId="11" borderId="47" xfId="3" applyNumberFormat="1" applyBorder="1" applyAlignment="1">
      <alignment horizontal="center"/>
    </xf>
    <xf numFmtId="0" fontId="2" fillId="2" borderId="47" xfId="0" applyFont="1" applyFill="1" applyBorder="1" applyAlignment="1">
      <alignment horizontal="center" vertical="center" wrapText="1"/>
    </xf>
    <xf numFmtId="0" fontId="3" fillId="2" borderId="7" xfId="0" applyFont="1" applyFill="1" applyBorder="1" applyAlignment="1">
      <alignment horizontal="left" vertical="center" wrapText="1" indent="1" readingOrder="1"/>
    </xf>
    <xf numFmtId="0" fontId="3" fillId="2" borderId="5" xfId="0" applyFont="1" applyFill="1" applyBorder="1" applyAlignment="1">
      <alignment horizontal="center" vertical="center" wrapText="1" readingOrder="1"/>
    </xf>
    <xf numFmtId="173" fontId="27" fillId="5" borderId="0" xfId="0" applyNumberFormat="1" applyFont="1" applyFill="1" applyBorder="1" applyAlignment="1">
      <alignment horizontal="right"/>
    </xf>
    <xf numFmtId="0" fontId="27" fillId="0" borderId="0" xfId="0" applyFont="1" applyFill="1" applyBorder="1" applyAlignment="1">
      <alignment horizontal="right"/>
    </xf>
    <xf numFmtId="10" fontId="0" fillId="0" borderId="0" xfId="0" applyNumberFormat="1"/>
    <xf numFmtId="0" fontId="28" fillId="0" borderId="0" xfId="0" applyFont="1"/>
    <xf numFmtId="0" fontId="28" fillId="0" borderId="0" xfId="0" applyFont="1" applyAlignment="1"/>
    <xf numFmtId="49" fontId="30" fillId="0" borderId="0" xfId="0" applyNumberFormat="1" applyFont="1" applyAlignment="1"/>
    <xf numFmtId="177" fontId="30" fillId="0" borderId="0" xfId="0" applyNumberFormat="1" applyFont="1"/>
    <xf numFmtId="49" fontId="30" fillId="5" borderId="0" xfId="0" applyNumberFormat="1" applyFont="1" applyFill="1" applyAlignment="1"/>
    <xf numFmtId="177" fontId="30" fillId="5" borderId="0" xfId="0" applyNumberFormat="1" applyFont="1" applyFill="1"/>
    <xf numFmtId="49" fontId="31" fillId="0" borderId="0" xfId="0" applyNumberFormat="1" applyFont="1" applyAlignment="1"/>
    <xf numFmtId="177" fontId="31" fillId="0" borderId="0" xfId="0" applyNumberFormat="1" applyFont="1"/>
    <xf numFmtId="178" fontId="30" fillId="0" borderId="0" xfId="0" applyNumberFormat="1" applyFont="1"/>
    <xf numFmtId="49" fontId="32" fillId="0" borderId="0" xfId="0" applyNumberFormat="1" applyFont="1" applyAlignment="1"/>
    <xf numFmtId="177" fontId="33" fillId="0" borderId="0" xfId="0" applyNumberFormat="1" applyFont="1"/>
    <xf numFmtId="178" fontId="33" fillId="0" borderId="0" xfId="0" applyNumberFormat="1" applyFont="1"/>
    <xf numFmtId="0" fontId="33" fillId="0" borderId="0" xfId="0" applyFont="1"/>
    <xf numFmtId="49" fontId="34" fillId="7" borderId="0" xfId="0" applyNumberFormat="1" applyFont="1" applyFill="1" applyAlignment="1"/>
    <xf numFmtId="0" fontId="34" fillId="7" borderId="0" xfId="0" applyFont="1" applyFill="1"/>
    <xf numFmtId="166" fontId="34" fillId="7" borderId="0" xfId="0" applyNumberFormat="1" applyFont="1" applyFill="1"/>
    <xf numFmtId="0" fontId="35" fillId="0" borderId="0" xfId="0" applyFont="1"/>
    <xf numFmtId="166" fontId="35" fillId="0" borderId="0" xfId="0" applyNumberFormat="1" applyFont="1"/>
    <xf numFmtId="0" fontId="28" fillId="4" borderId="0" xfId="0" applyFont="1" applyFill="1" applyAlignment="1"/>
    <xf numFmtId="0" fontId="28" fillId="4" borderId="0" xfId="0" applyFont="1" applyFill="1"/>
    <xf numFmtId="49" fontId="29" fillId="4" borderId="0" xfId="0" applyNumberFormat="1" applyFont="1" applyFill="1"/>
    <xf numFmtId="49" fontId="30" fillId="4" borderId="0" xfId="0" applyNumberFormat="1" applyFont="1" applyFill="1" applyAlignment="1"/>
    <xf numFmtId="177" fontId="30" fillId="4" borderId="0" xfId="0" applyNumberFormat="1" applyFont="1" applyFill="1"/>
    <xf numFmtId="0" fontId="36" fillId="4" borderId="0" xfId="0" applyFont="1" applyFill="1" applyAlignment="1"/>
    <xf numFmtId="49" fontId="37" fillId="0" borderId="37" xfId="0" applyNumberFormat="1" applyFont="1" applyBorder="1" applyAlignment="1">
      <alignment horizontal="center" vertical="center"/>
    </xf>
    <xf numFmtId="49" fontId="37" fillId="0" borderId="38" xfId="0" applyNumberFormat="1" applyFont="1" applyBorder="1" applyAlignment="1">
      <alignment horizontal="center" vertical="center"/>
    </xf>
    <xf numFmtId="49" fontId="37" fillId="0" borderId="39" xfId="0" applyNumberFormat="1" applyFont="1" applyBorder="1" applyAlignment="1">
      <alignment horizontal="center" vertical="center"/>
    </xf>
    <xf numFmtId="0" fontId="37" fillId="0" borderId="0" xfId="0" applyFont="1"/>
    <xf numFmtId="49" fontId="37" fillId="0" borderId="71" xfId="0" applyNumberFormat="1" applyFont="1" applyBorder="1" applyAlignment="1">
      <alignment horizontal="left" vertical="top"/>
    </xf>
    <xf numFmtId="6" fontId="37" fillId="0" borderId="47" xfId="0" applyNumberFormat="1" applyFont="1" applyBorder="1" applyAlignment="1">
      <alignment horizontal="right"/>
    </xf>
    <xf numFmtId="6" fontId="37" fillId="0" borderId="70" xfId="0" applyNumberFormat="1" applyFont="1" applyBorder="1" applyAlignment="1">
      <alignment horizontal="right"/>
    </xf>
    <xf numFmtId="49" fontId="37" fillId="0" borderId="76" xfId="0" applyNumberFormat="1" applyFont="1" applyBorder="1" applyAlignment="1">
      <alignment horizontal="left" vertical="top"/>
    </xf>
    <xf numFmtId="6" fontId="37" fillId="0" borderId="45" xfId="0" applyNumberFormat="1" applyFont="1" applyBorder="1" applyAlignment="1">
      <alignment horizontal="right"/>
    </xf>
    <xf numFmtId="6" fontId="37" fillId="0" borderId="46" xfId="0" applyNumberFormat="1" applyFont="1" applyBorder="1" applyAlignment="1">
      <alignment horizontal="right"/>
    </xf>
    <xf numFmtId="49" fontId="38" fillId="0" borderId="76" xfId="0" applyNumberFormat="1" applyFont="1" applyBorder="1" applyAlignment="1">
      <alignment horizontal="left" vertical="top"/>
    </xf>
    <xf numFmtId="6" fontId="38" fillId="0" borderId="45" xfId="0" applyNumberFormat="1" applyFont="1" applyBorder="1" applyAlignment="1">
      <alignment horizontal="right"/>
    </xf>
    <xf numFmtId="17" fontId="37" fillId="0" borderId="0" xfId="0" applyNumberFormat="1" applyFont="1"/>
    <xf numFmtId="6" fontId="37" fillId="0" borderId="0" xfId="0" applyNumberFormat="1" applyFont="1"/>
    <xf numFmtId="179" fontId="37" fillId="0" borderId="0" xfId="0" applyNumberFormat="1" applyFont="1"/>
    <xf numFmtId="0" fontId="37" fillId="0" borderId="58" xfId="0" applyFont="1" applyBorder="1"/>
    <xf numFmtId="6" fontId="37" fillId="0" borderId="62" xfId="0" applyNumberFormat="1" applyFont="1" applyBorder="1" applyAlignment="1">
      <alignment horizontal="right"/>
    </xf>
    <xf numFmtId="0" fontId="37" fillId="0" borderId="62" xfId="0" applyFont="1" applyBorder="1"/>
    <xf numFmtId="179" fontId="37" fillId="14" borderId="84" xfId="0" applyNumberFormat="1" applyFont="1" applyFill="1" applyBorder="1" applyAlignment="1">
      <alignment horizontal="right"/>
    </xf>
    <xf numFmtId="0" fontId="37" fillId="0" borderId="52" xfId="0" applyFont="1" applyBorder="1"/>
    <xf numFmtId="6" fontId="37" fillId="0" borderId="0" xfId="0" applyNumberFormat="1" applyFont="1" applyBorder="1" applyAlignment="1">
      <alignment horizontal="right"/>
    </xf>
    <xf numFmtId="6" fontId="37" fillId="15" borderId="85" xfId="0" applyNumberFormat="1" applyFont="1" applyFill="1" applyBorder="1" applyAlignment="1">
      <alignment horizontal="right"/>
    </xf>
    <xf numFmtId="10" fontId="37" fillId="15" borderId="0" xfId="0" applyNumberFormat="1" applyFont="1" applyFill="1"/>
    <xf numFmtId="0" fontId="37" fillId="0" borderId="57" xfId="0" applyFont="1" applyBorder="1"/>
    <xf numFmtId="6" fontId="37" fillId="0" borderId="86" xfId="0" applyNumberFormat="1" applyFont="1" applyBorder="1" applyAlignment="1">
      <alignment horizontal="right"/>
    </xf>
    <xf numFmtId="164" fontId="37" fillId="14" borderId="87" xfId="1" applyNumberFormat="1" applyFont="1" applyFill="1" applyBorder="1" applyAlignment="1">
      <alignment horizontal="right"/>
    </xf>
    <xf numFmtId="179" fontId="37" fillId="0" borderId="0" xfId="0" applyNumberFormat="1" applyFont="1" applyBorder="1" applyAlignment="1">
      <alignment horizontal="right"/>
    </xf>
    <xf numFmtId="171" fontId="37" fillId="15" borderId="0" xfId="0" applyNumberFormat="1" applyFont="1" applyFill="1" applyBorder="1" applyAlignment="1">
      <alignment horizontal="right"/>
    </xf>
    <xf numFmtId="9" fontId="37" fillId="0" borderId="0" xfId="1" applyFont="1" applyBorder="1" applyAlignment="1">
      <alignment horizontal="right"/>
    </xf>
    <xf numFmtId="6" fontId="37" fillId="16" borderId="88" xfId="0" applyNumberFormat="1" applyFont="1" applyFill="1" applyBorder="1" applyAlignment="1">
      <alignment horizontal="right"/>
    </xf>
    <xf numFmtId="6" fontId="37" fillId="16" borderId="47" xfId="0" applyNumberFormat="1" applyFont="1" applyFill="1" applyBorder="1" applyAlignment="1">
      <alignment horizontal="right"/>
    </xf>
    <xf numFmtId="6" fontId="37" fillId="0" borderId="88" xfId="0" applyNumberFormat="1" applyFont="1" applyBorder="1" applyAlignment="1">
      <alignment horizontal="right"/>
    </xf>
    <xf numFmtId="6" fontId="37" fillId="0" borderId="89" xfId="0" applyNumberFormat="1" applyFont="1" applyBorder="1" applyAlignment="1">
      <alignment horizontal="right"/>
    </xf>
    <xf numFmtId="6" fontId="37" fillId="16" borderId="89" xfId="0" applyNumberFormat="1" applyFont="1" applyFill="1" applyBorder="1" applyAlignment="1">
      <alignment horizontal="right"/>
    </xf>
    <xf numFmtId="0" fontId="38" fillId="0" borderId="58" xfId="0" applyFont="1" applyBorder="1"/>
    <xf numFmtId="0" fontId="37" fillId="0" borderId="84" xfId="0" applyFont="1" applyBorder="1"/>
    <xf numFmtId="0" fontId="38" fillId="0" borderId="52" xfId="0" applyFont="1" applyBorder="1"/>
    <xf numFmtId="0" fontId="37" fillId="0" borderId="0" xfId="0" applyFont="1" applyBorder="1"/>
    <xf numFmtId="0" fontId="37" fillId="0" borderId="85" xfId="0" applyFont="1" applyBorder="1"/>
    <xf numFmtId="0" fontId="38" fillId="0" borderId="57" xfId="0" applyFont="1" applyBorder="1"/>
    <xf numFmtId="0" fontId="37" fillId="0" borderId="86" xfId="0" applyFont="1" applyBorder="1"/>
    <xf numFmtId="0" fontId="37" fillId="0" borderId="87" xfId="0" applyFont="1" applyBorder="1"/>
    <xf numFmtId="0" fontId="38" fillId="0" borderId="0" xfId="0" applyFont="1" applyBorder="1"/>
    <xf numFmtId="49" fontId="37" fillId="0" borderId="0" xfId="0" applyNumberFormat="1" applyFont="1" applyBorder="1" applyAlignment="1">
      <alignment horizontal="left" vertical="top"/>
    </xf>
    <xf numFmtId="6" fontId="37" fillId="14" borderId="84" xfId="0" applyNumberFormat="1" applyFont="1" applyFill="1" applyBorder="1" applyAlignment="1">
      <alignment horizontal="right"/>
    </xf>
    <xf numFmtId="6" fontId="37" fillId="14" borderId="85" xfId="0" applyNumberFormat="1" applyFont="1" applyFill="1" applyBorder="1" applyAlignment="1">
      <alignment horizontal="right"/>
    </xf>
    <xf numFmtId="171" fontId="37" fillId="0" borderId="0" xfId="0" applyNumberFormat="1" applyFont="1" applyBorder="1" applyAlignment="1">
      <alignment horizontal="right"/>
    </xf>
    <xf numFmtId="10" fontId="37" fillId="15" borderId="0" xfId="1" applyNumberFormat="1" applyFont="1" applyFill="1"/>
    <xf numFmtId="10" fontId="37" fillId="0" borderId="0" xfId="1" applyNumberFormat="1" applyFont="1" applyBorder="1" applyAlignment="1">
      <alignment horizontal="right"/>
    </xf>
    <xf numFmtId="179" fontId="37" fillId="0" borderId="45" xfId="5" applyNumberFormat="1" applyFont="1" applyBorder="1" applyAlignment="1">
      <alignment horizontal="right"/>
    </xf>
    <xf numFmtId="179" fontId="37" fillId="0" borderId="47" xfId="5" applyNumberFormat="1" applyFont="1" applyBorder="1" applyAlignment="1">
      <alignment horizontal="right"/>
    </xf>
    <xf numFmtId="6" fontId="38" fillId="0" borderId="47" xfId="0" applyNumberFormat="1" applyFont="1" applyBorder="1" applyAlignment="1">
      <alignment horizontal="right"/>
    </xf>
    <xf numFmtId="179" fontId="38" fillId="0" borderId="47" xfId="5" applyNumberFormat="1" applyFont="1" applyBorder="1" applyAlignment="1">
      <alignment horizontal="right"/>
    </xf>
    <xf numFmtId="164" fontId="37" fillId="15" borderId="0" xfId="1" applyNumberFormat="1" applyFont="1" applyFill="1"/>
    <xf numFmtId="49" fontId="37" fillId="0" borderId="71" xfId="0" applyNumberFormat="1" applyFont="1" applyBorder="1" applyAlignment="1">
      <alignment horizontal="center" vertical="top"/>
    </xf>
    <xf numFmtId="179" fontId="37" fillId="0" borderId="71" xfId="5" applyNumberFormat="1" applyFont="1" applyBorder="1" applyAlignment="1">
      <alignment horizontal="left" vertical="top"/>
    </xf>
    <xf numFmtId="49" fontId="38" fillId="0" borderId="71" xfId="0" applyNumberFormat="1" applyFont="1" applyBorder="1" applyAlignment="1">
      <alignment horizontal="left" vertical="top"/>
    </xf>
    <xf numFmtId="179" fontId="38" fillId="0" borderId="71" xfId="5" applyNumberFormat="1" applyFont="1" applyBorder="1" applyAlignment="1">
      <alignment horizontal="left" vertical="top"/>
    </xf>
    <xf numFmtId="3" fontId="41" fillId="0" borderId="0" xfId="0" applyNumberFormat="1" applyFont="1"/>
    <xf numFmtId="49" fontId="39" fillId="17" borderId="47" xfId="0" applyNumberFormat="1" applyFont="1" applyFill="1" applyBorder="1" applyAlignment="1">
      <alignment horizontal="center" vertical="center"/>
    </xf>
    <xf numFmtId="49" fontId="37" fillId="16" borderId="47" xfId="0" applyNumberFormat="1" applyFont="1" applyFill="1" applyBorder="1" applyAlignment="1">
      <alignment horizontal="left" vertical="top"/>
    </xf>
    <xf numFmtId="49" fontId="37" fillId="0" borderId="47" xfId="0" applyNumberFormat="1" applyFont="1" applyBorder="1" applyAlignment="1">
      <alignment horizontal="left" vertical="top"/>
    </xf>
    <xf numFmtId="49" fontId="37" fillId="16" borderId="88" xfId="0" applyNumberFormat="1" applyFont="1" applyFill="1" applyBorder="1" applyAlignment="1">
      <alignment horizontal="left" vertical="top"/>
    </xf>
    <xf numFmtId="49" fontId="37" fillId="0" borderId="88" xfId="0" applyNumberFormat="1" applyFont="1" applyBorder="1" applyAlignment="1">
      <alignment horizontal="left" vertical="top"/>
    </xf>
    <xf numFmtId="49" fontId="38" fillId="0" borderId="47" xfId="0" applyNumberFormat="1" applyFont="1" applyBorder="1" applyAlignment="1">
      <alignment horizontal="left" vertical="top"/>
    </xf>
    <xf numFmtId="6" fontId="37" fillId="15" borderId="47" xfId="0" applyNumberFormat="1" applyFont="1" applyFill="1" applyBorder="1" applyAlignment="1">
      <alignment horizontal="right"/>
    </xf>
    <xf numFmtId="0" fontId="42" fillId="0" borderId="0" xfId="0" applyFont="1"/>
    <xf numFmtId="0" fontId="38" fillId="0" borderId="0" xfId="0" applyFont="1"/>
    <xf numFmtId="180" fontId="37" fillId="0" borderId="0" xfId="0" applyNumberFormat="1" applyFont="1"/>
    <xf numFmtId="181" fontId="37" fillId="0" borderId="0" xfId="0" applyNumberFormat="1" applyFont="1"/>
    <xf numFmtId="174" fontId="37" fillId="0" borderId="0" xfId="0" applyNumberFormat="1" applyFont="1"/>
    <xf numFmtId="174" fontId="43" fillId="0" borderId="0" xfId="5" applyNumberFormat="1" applyFont="1"/>
    <xf numFmtId="174" fontId="43" fillId="0" borderId="0" xfId="0" applyNumberFormat="1" applyFont="1"/>
    <xf numFmtId="164" fontId="37" fillId="0" borderId="0" xfId="1" applyNumberFormat="1" applyFont="1"/>
    <xf numFmtId="164" fontId="37" fillId="0" borderId="0" xfId="1" applyNumberFormat="1" applyFont="1" applyBorder="1" applyAlignment="1">
      <alignment horizontal="right"/>
    </xf>
    <xf numFmtId="9" fontId="37" fillId="0" borderId="0" xfId="0" applyNumberFormat="1" applyFont="1"/>
    <xf numFmtId="0" fontId="44" fillId="4" borderId="0" xfId="0" applyFont="1" applyFill="1" applyAlignment="1">
      <alignment horizontal="center"/>
    </xf>
    <xf numFmtId="17" fontId="28" fillId="4" borderId="0" xfId="0" applyNumberFormat="1" applyFont="1" applyFill="1"/>
    <xf numFmtId="0" fontId="28" fillId="4" borderId="58" xfId="0" applyFont="1" applyFill="1" applyBorder="1"/>
    <xf numFmtId="38" fontId="28" fillId="4" borderId="62" xfId="0" applyNumberFormat="1" applyFont="1" applyFill="1" applyBorder="1"/>
    <xf numFmtId="0" fontId="28" fillId="4" borderId="52" xfId="0" applyFont="1" applyFill="1" applyBorder="1"/>
    <xf numFmtId="38" fontId="28" fillId="4" borderId="0" xfId="0" applyNumberFormat="1" applyFont="1" applyFill="1" applyBorder="1"/>
    <xf numFmtId="0" fontId="28" fillId="18" borderId="57" xfId="0" applyFont="1" applyFill="1" applyBorder="1"/>
    <xf numFmtId="10" fontId="28" fillId="18" borderId="86" xfId="1" applyNumberFormat="1" applyFont="1" applyFill="1" applyBorder="1"/>
    <xf numFmtId="38" fontId="28" fillId="4" borderId="0" xfId="0" applyNumberFormat="1" applyFont="1" applyFill="1"/>
    <xf numFmtId="10" fontId="28" fillId="4" borderId="0" xfId="1" applyNumberFormat="1" applyFont="1" applyFill="1"/>
    <xf numFmtId="0" fontId="28" fillId="4" borderId="0" xfId="0" applyFont="1" applyFill="1" applyBorder="1"/>
    <xf numFmtId="10" fontId="28" fillId="4" borderId="0" xfId="1" applyNumberFormat="1" applyFont="1" applyFill="1" applyBorder="1"/>
    <xf numFmtId="0" fontId="1" fillId="0" borderId="6" xfId="0" applyFont="1" applyFill="1" applyBorder="1" applyAlignment="1">
      <alignment horizontal="center" vertical="center" wrapText="1" readingOrder="1"/>
    </xf>
    <xf numFmtId="0" fontId="1" fillId="0" borderId="11" xfId="0" applyFont="1" applyFill="1" applyBorder="1" applyAlignment="1">
      <alignment horizontal="center" vertical="center" wrapText="1" readingOrder="1"/>
    </xf>
    <xf numFmtId="0" fontId="1" fillId="0" borderId="9" xfId="0" applyFont="1" applyFill="1" applyBorder="1" applyAlignment="1">
      <alignment horizontal="center" vertical="center" wrapText="1" readingOrder="1"/>
    </xf>
    <xf numFmtId="0" fontId="1" fillId="0" borderId="22" xfId="0" applyFont="1" applyFill="1" applyBorder="1" applyAlignment="1">
      <alignment horizontal="center" vertical="center" wrapText="1" readingOrder="1"/>
    </xf>
    <xf numFmtId="0" fontId="1" fillId="0" borderId="23" xfId="0" applyFont="1" applyFill="1" applyBorder="1" applyAlignment="1">
      <alignment horizontal="center" vertical="center" wrapText="1" readingOrder="1"/>
    </xf>
    <xf numFmtId="0" fontId="1" fillId="0" borderId="24" xfId="0" applyFont="1" applyFill="1" applyBorder="1" applyAlignment="1">
      <alignment horizontal="center" vertical="center" wrapText="1" readingOrder="1"/>
    </xf>
    <xf numFmtId="0" fontId="8" fillId="5" borderId="27" xfId="0" applyFont="1" applyFill="1" applyBorder="1" applyAlignment="1" applyProtection="1">
      <alignment horizontal="center" vertical="center" wrapText="1"/>
    </xf>
    <xf numFmtId="0" fontId="8" fillId="5" borderId="28" xfId="0" applyFont="1" applyFill="1" applyBorder="1" applyAlignment="1" applyProtection="1">
      <alignment horizontal="center" vertical="center" wrapText="1"/>
    </xf>
    <xf numFmtId="10" fontId="8" fillId="0" borderId="22" xfId="0" applyNumberFormat="1" applyFont="1" applyBorder="1" applyAlignment="1" applyProtection="1">
      <alignment horizontal="center" vertical="center" wrapText="1"/>
    </xf>
    <xf numFmtId="10" fontId="8" fillId="0" borderId="24" xfId="0" applyNumberFormat="1" applyFont="1" applyBorder="1" applyAlignment="1" applyProtection="1">
      <alignment horizontal="center" vertical="center" wrapText="1"/>
    </xf>
    <xf numFmtId="10" fontId="8" fillId="0" borderId="23" xfId="0" applyNumberFormat="1" applyFont="1" applyBorder="1" applyAlignment="1" applyProtection="1">
      <alignment horizontal="center" vertical="center" wrapText="1"/>
    </xf>
    <xf numFmtId="0" fontId="8" fillId="0" borderId="22" xfId="0" applyFont="1" applyBorder="1" applyAlignment="1" applyProtection="1">
      <alignment horizontal="center" vertical="center" wrapText="1"/>
    </xf>
    <xf numFmtId="0" fontId="8" fillId="0" borderId="24" xfId="0" applyFont="1" applyBorder="1" applyAlignment="1" applyProtection="1">
      <alignment horizontal="center" vertical="center" wrapText="1"/>
    </xf>
    <xf numFmtId="0" fontId="8" fillId="0" borderId="23" xfId="0" applyFont="1" applyBorder="1" applyAlignment="1" applyProtection="1">
      <alignment horizontal="center" vertical="center" wrapText="1"/>
    </xf>
    <xf numFmtId="9" fontId="8" fillId="0" borderId="24" xfId="0" applyNumberFormat="1" applyFont="1" applyBorder="1" applyAlignment="1" applyProtection="1">
      <alignment horizontal="center" vertical="center" wrapText="1"/>
    </xf>
    <xf numFmtId="9" fontId="8" fillId="0" borderId="23" xfId="0" applyNumberFormat="1" applyFont="1" applyBorder="1" applyAlignment="1" applyProtection="1">
      <alignment horizontal="center" vertical="center" wrapText="1"/>
    </xf>
    <xf numFmtId="10" fontId="8" fillId="0" borderId="52" xfId="0" applyNumberFormat="1" applyFont="1" applyBorder="1" applyAlignment="1" applyProtection="1">
      <alignment horizontal="center" vertical="center" wrapText="1"/>
    </xf>
    <xf numFmtId="10" fontId="8" fillId="0" borderId="57" xfId="0" applyNumberFormat="1" applyFont="1" applyBorder="1" applyAlignment="1" applyProtection="1">
      <alignment horizontal="center" vertical="center" wrapText="1"/>
    </xf>
    <xf numFmtId="0" fontId="8" fillId="0" borderId="22" xfId="0" applyNumberFormat="1" applyFont="1" applyBorder="1" applyAlignment="1" applyProtection="1">
      <alignment horizontal="center" vertical="center" wrapText="1"/>
    </xf>
    <xf numFmtId="0" fontId="8" fillId="0" borderId="24" xfId="0" applyNumberFormat="1" applyFont="1" applyBorder="1" applyAlignment="1" applyProtection="1">
      <alignment horizontal="center" vertical="center" wrapText="1"/>
    </xf>
    <xf numFmtId="0" fontId="8" fillId="0" borderId="23" xfId="0" applyNumberFormat="1" applyFont="1" applyBorder="1" applyAlignment="1" applyProtection="1">
      <alignment horizontal="center" vertical="center" wrapText="1"/>
    </xf>
    <xf numFmtId="10" fontId="8" fillId="0" borderId="58" xfId="0" applyNumberFormat="1" applyFont="1" applyBorder="1" applyAlignment="1" applyProtection="1">
      <alignment horizontal="center" vertical="center" wrapText="1"/>
    </xf>
    <xf numFmtId="0" fontId="7" fillId="3" borderId="27" xfId="0" applyFont="1" applyFill="1" applyBorder="1" applyAlignment="1" applyProtection="1">
      <alignment horizontal="center" vertical="center"/>
    </xf>
    <xf numFmtId="0" fontId="7" fillId="3" borderId="83" xfId="0" applyFont="1" applyFill="1" applyBorder="1" applyAlignment="1" applyProtection="1">
      <alignment horizontal="center" vertical="center"/>
    </xf>
    <xf numFmtId="0" fontId="5" fillId="4" borderId="62" xfId="0" applyFont="1" applyFill="1" applyBorder="1" applyAlignment="1" applyProtection="1">
      <alignment horizontal="left" wrapText="1"/>
      <protection locked="0"/>
    </xf>
    <xf numFmtId="0" fontId="5" fillId="4" borderId="0" xfId="0" applyFont="1" applyFill="1" applyAlignment="1" applyProtection="1">
      <alignment horizontal="left" wrapText="1"/>
      <protection locked="0"/>
    </xf>
    <xf numFmtId="168" fontId="8" fillId="0" borderId="24" xfId="2" applyNumberFormat="1" applyFont="1" applyBorder="1" applyAlignment="1" applyProtection="1">
      <alignment horizontal="center" vertical="center" wrapText="1"/>
    </xf>
    <xf numFmtId="168" fontId="8" fillId="0" borderId="23" xfId="2" applyNumberFormat="1" applyFont="1" applyBorder="1" applyAlignment="1" applyProtection="1">
      <alignment horizontal="center" vertical="center" wrapText="1"/>
    </xf>
    <xf numFmtId="0" fontId="17" fillId="4" borderId="62" xfId="0" applyFont="1" applyFill="1" applyBorder="1" applyAlignment="1" applyProtection="1">
      <alignment horizontal="left" wrapText="1"/>
      <protection locked="0"/>
    </xf>
    <xf numFmtId="0" fontId="17" fillId="4" borderId="0" xfId="0" applyFont="1" applyFill="1" applyAlignment="1" applyProtection="1">
      <alignment horizontal="left" wrapText="1"/>
      <protection locked="0"/>
    </xf>
    <xf numFmtId="168" fontId="8" fillId="0" borderId="22" xfId="2" applyNumberFormat="1" applyFont="1" applyBorder="1" applyAlignment="1" applyProtection="1">
      <alignment horizontal="center" vertical="center" wrapText="1"/>
    </xf>
    <xf numFmtId="0" fontId="14" fillId="4" borderId="0" xfId="0" applyFont="1" applyFill="1" applyAlignment="1" applyProtection="1">
      <alignment horizontal="center"/>
    </xf>
    <xf numFmtId="0" fontId="9" fillId="0" borderId="0" xfId="0" applyFont="1" applyBorder="1" applyAlignment="1" applyProtection="1">
      <alignment horizontal="center" vertical="center" wrapText="1"/>
    </xf>
    <xf numFmtId="169" fontId="8" fillId="0" borderId="22" xfId="2" applyNumberFormat="1" applyFont="1" applyBorder="1" applyAlignment="1" applyProtection="1">
      <alignment horizontal="center" vertical="center" wrapText="1"/>
    </xf>
    <xf numFmtId="169" fontId="8" fillId="0" borderId="24" xfId="2" applyNumberFormat="1" applyFont="1" applyBorder="1" applyAlignment="1" applyProtection="1">
      <alignment horizontal="center" vertical="center" wrapText="1"/>
    </xf>
    <xf numFmtId="169" fontId="8" fillId="0" borderId="23" xfId="2" applyNumberFormat="1" applyFont="1" applyBorder="1" applyAlignment="1" applyProtection="1">
      <alignment horizontal="center" vertical="center" wrapText="1"/>
    </xf>
    <xf numFmtId="9" fontId="8" fillId="0" borderId="22" xfId="2" applyNumberFormat="1" applyFont="1" applyBorder="1" applyAlignment="1" applyProtection="1">
      <alignment horizontal="center" vertical="center" wrapText="1"/>
    </xf>
    <xf numFmtId="9" fontId="8" fillId="0" borderId="24" xfId="2" applyNumberFormat="1" applyFont="1" applyBorder="1" applyAlignment="1" applyProtection="1">
      <alignment horizontal="center" vertical="center" wrapText="1"/>
    </xf>
    <xf numFmtId="9" fontId="8" fillId="0" borderId="23" xfId="2" applyNumberFormat="1" applyFont="1" applyBorder="1" applyAlignment="1" applyProtection="1">
      <alignment horizontal="center" vertical="center" wrapText="1"/>
    </xf>
    <xf numFmtId="9" fontId="8" fillId="0" borderId="22" xfId="1" applyFont="1" applyBorder="1" applyAlignment="1" applyProtection="1">
      <alignment horizontal="center" vertical="center" wrapText="1"/>
    </xf>
    <xf numFmtId="9" fontId="8" fillId="0" borderId="24" xfId="1" applyFont="1" applyBorder="1" applyAlignment="1" applyProtection="1">
      <alignment horizontal="center" vertical="center" wrapText="1"/>
    </xf>
    <xf numFmtId="9" fontId="8" fillId="0" borderId="23" xfId="1" applyFont="1" applyBorder="1" applyAlignment="1" applyProtection="1">
      <alignment horizontal="center" vertical="center" wrapText="1"/>
    </xf>
    <xf numFmtId="0" fontId="22" fillId="0" borderId="0" xfId="0" applyFont="1" applyAlignment="1" applyProtection="1">
      <alignment horizontal="left" vertical="top" wrapText="1"/>
      <protection locked="0"/>
    </xf>
    <xf numFmtId="0" fontId="8" fillId="0" borderId="22" xfId="2" applyNumberFormat="1" applyFont="1" applyBorder="1" applyAlignment="1" applyProtection="1">
      <alignment horizontal="center" vertical="center" wrapText="1"/>
    </xf>
    <xf numFmtId="0" fontId="8" fillId="0" borderId="23" xfId="2" applyNumberFormat="1" applyFont="1" applyBorder="1" applyAlignment="1" applyProtection="1">
      <alignment horizontal="center" vertical="center" wrapText="1"/>
    </xf>
    <xf numFmtId="0" fontId="8" fillId="0" borderId="22" xfId="1" applyNumberFormat="1" applyFont="1" applyBorder="1" applyAlignment="1" applyProtection="1">
      <alignment horizontal="center" vertical="center" wrapText="1"/>
    </xf>
    <xf numFmtId="0" fontId="8" fillId="0" borderId="23" xfId="1" applyNumberFormat="1" applyFont="1" applyBorder="1" applyAlignment="1" applyProtection="1">
      <alignment horizontal="center" vertical="center" wrapText="1"/>
    </xf>
    <xf numFmtId="164" fontId="8" fillId="0" borderId="22" xfId="0" applyNumberFormat="1" applyFont="1" applyBorder="1" applyAlignment="1" applyProtection="1">
      <alignment horizontal="center" vertical="center" wrapText="1"/>
    </xf>
    <xf numFmtId="164" fontId="8" fillId="0" borderId="24" xfId="0" applyNumberFormat="1" applyFont="1" applyBorder="1" applyAlignment="1" applyProtection="1">
      <alignment horizontal="center" vertical="center" wrapText="1"/>
    </xf>
    <xf numFmtId="164" fontId="8" fillId="0" borderId="23" xfId="0" applyNumberFormat="1" applyFont="1" applyBorder="1" applyAlignment="1" applyProtection="1">
      <alignment horizontal="center" vertical="center" wrapText="1"/>
    </xf>
    <xf numFmtId="0" fontId="4" fillId="13" borderId="47" xfId="4" applyFill="1" applyBorder="1" applyAlignment="1">
      <alignment horizontal="center" vertical="center" wrapText="1"/>
    </xf>
    <xf numFmtId="41" fontId="28" fillId="0" borderId="0" xfId="6" applyFont="1"/>
    <xf numFmtId="41" fontId="45" fillId="0" borderId="0" xfId="6" applyFont="1"/>
    <xf numFmtId="0" fontId="46" fillId="0" borderId="0" xfId="6" applyNumberFormat="1" applyFont="1" applyBorder="1" applyAlignment="1" applyProtection="1">
      <alignment horizontal="right"/>
      <protection locked="0"/>
    </xf>
    <xf numFmtId="0" fontId="48" fillId="0" borderId="0" xfId="7" applyFont="1"/>
    <xf numFmtId="182" fontId="48" fillId="0" borderId="0" xfId="7" applyNumberFormat="1" applyFont="1"/>
    <xf numFmtId="41" fontId="49" fillId="0" borderId="0" xfId="6" applyFont="1"/>
    <xf numFmtId="41" fontId="45" fillId="0" borderId="0" xfId="6"/>
    <xf numFmtId="41" fontId="46" fillId="0" borderId="0" xfId="6" applyFont="1" applyProtection="1">
      <protection locked="0"/>
    </xf>
    <xf numFmtId="41" fontId="50" fillId="0" borderId="0" xfId="6" applyNumberFormat="1" applyFont="1" applyBorder="1" applyAlignment="1">
      <alignment horizontal="left"/>
    </xf>
    <xf numFmtId="41" fontId="50" fillId="0" borderId="0" xfId="6" applyFont="1" applyAlignment="1">
      <alignment horizontal="right"/>
    </xf>
    <xf numFmtId="182" fontId="50" fillId="0" borderId="0" xfId="6" applyNumberFormat="1" applyFont="1"/>
    <xf numFmtId="182" fontId="50" fillId="0" borderId="0" xfId="6" applyNumberFormat="1" applyFont="1" applyAlignment="1">
      <alignment horizontal="right"/>
    </xf>
    <xf numFmtId="182" fontId="46" fillId="0" borderId="0" xfId="6" applyNumberFormat="1" applyFont="1" applyProtection="1">
      <protection locked="0"/>
    </xf>
    <xf numFmtId="182" fontId="50" fillId="0" borderId="0" xfId="6" applyNumberFormat="1" applyFont="1" applyAlignment="1">
      <alignment horizontal="left"/>
    </xf>
    <xf numFmtId="182" fontId="28" fillId="0" borderId="0" xfId="6" applyNumberFormat="1" applyFont="1"/>
    <xf numFmtId="41" fontId="51" fillId="0" borderId="0" xfId="6" applyFont="1"/>
    <xf numFmtId="41" fontId="50" fillId="0" borderId="91" xfId="6" applyFont="1" applyBorder="1" applyAlignment="1">
      <alignment horizontal="left"/>
    </xf>
    <xf numFmtId="41" fontId="50" fillId="0" borderId="91" xfId="6" applyFont="1" applyBorder="1" applyAlignment="1">
      <alignment horizontal="right"/>
    </xf>
    <xf numFmtId="182" fontId="50" fillId="0" borderId="91" xfId="6" applyNumberFormat="1" applyFont="1" applyBorder="1"/>
    <xf numFmtId="182" fontId="50" fillId="0" borderId="91" xfId="6" applyNumberFormat="1" applyFont="1" applyBorder="1" applyAlignment="1">
      <alignment horizontal="left"/>
    </xf>
    <xf numFmtId="41" fontId="46" fillId="0" borderId="0" xfId="6" applyFont="1" applyBorder="1" applyProtection="1">
      <protection locked="0"/>
    </xf>
    <xf numFmtId="14" fontId="46" fillId="0" borderId="0" xfId="6" applyNumberFormat="1" applyFont="1" applyBorder="1" applyAlignment="1" applyProtection="1">
      <alignment horizontal="center"/>
      <protection locked="0"/>
    </xf>
    <xf numFmtId="182" fontId="46" fillId="0" borderId="92" xfId="6" applyNumberFormat="1" applyFont="1" applyBorder="1" applyAlignment="1" applyProtection="1">
      <alignment horizontal="center"/>
      <protection locked="0"/>
    </xf>
    <xf numFmtId="41" fontId="50" fillId="0" borderId="0" xfId="6" applyFont="1"/>
    <xf numFmtId="0" fontId="52" fillId="0" borderId="0" xfId="6" applyNumberFormat="1" applyFont="1" applyBorder="1" applyAlignment="1" applyProtection="1">
      <alignment horizontal="center"/>
    </xf>
    <xf numFmtId="41" fontId="52" fillId="0" borderId="93" xfId="6" applyFont="1" applyBorder="1" applyProtection="1">
      <protection locked="0"/>
    </xf>
    <xf numFmtId="182" fontId="52" fillId="0" borderId="93" xfId="6" applyNumberFormat="1" applyFont="1" applyBorder="1" applyProtection="1">
      <protection locked="0"/>
    </xf>
    <xf numFmtId="41" fontId="46" fillId="0" borderId="0" xfId="6" applyFont="1" applyBorder="1" applyAlignment="1" applyProtection="1">
      <alignment horizontal="center"/>
      <protection locked="0"/>
    </xf>
    <xf numFmtId="41" fontId="50" fillId="0" borderId="90" xfId="6" applyFont="1" applyBorder="1" applyAlignment="1" applyProtection="1"/>
    <xf numFmtId="182" fontId="50" fillId="0" borderId="90" xfId="6" applyNumberFormat="1" applyFont="1" applyBorder="1" applyAlignment="1" applyProtection="1"/>
    <xf numFmtId="41" fontId="45" fillId="0" borderId="0" xfId="6" applyAlignment="1">
      <alignment horizontal="center"/>
    </xf>
    <xf numFmtId="41" fontId="52" fillId="0" borderId="0" xfId="6" applyFont="1" applyBorder="1" applyAlignment="1" applyProtection="1">
      <alignment horizontal="left"/>
    </xf>
    <xf numFmtId="182" fontId="45" fillId="19" borderId="95" xfId="8" applyNumberFormat="1" applyBorder="1"/>
    <xf numFmtId="182" fontId="45" fillId="19" borderId="94" xfId="8" applyNumberFormat="1"/>
    <xf numFmtId="182" fontId="47" fillId="0" borderId="0" xfId="7" applyNumberFormat="1"/>
    <xf numFmtId="41" fontId="46" fillId="0" borderId="0" xfId="6" applyFont="1" applyBorder="1" applyAlignment="1" applyProtection="1">
      <alignment horizontal="center"/>
    </xf>
    <xf numFmtId="41" fontId="46" fillId="0" borderId="0" xfId="6" applyFont="1" applyBorder="1" applyAlignment="1" applyProtection="1">
      <alignment horizontal="left" indent="1"/>
    </xf>
    <xf numFmtId="182" fontId="50" fillId="19" borderId="95" xfId="8" applyNumberFormat="1" applyFont="1" applyBorder="1"/>
    <xf numFmtId="182" fontId="50" fillId="19" borderId="94" xfId="8" applyNumberFormat="1" applyFont="1"/>
    <xf numFmtId="41" fontId="52" fillId="0" borderId="90" xfId="6" applyFont="1" applyBorder="1" applyAlignment="1" applyProtection="1">
      <alignment horizontal="left"/>
    </xf>
    <xf numFmtId="182" fontId="50" fillId="19" borderId="96" xfId="8" applyNumberFormat="1" applyFont="1" applyBorder="1"/>
    <xf numFmtId="182" fontId="50" fillId="19" borderId="97" xfId="8" applyNumberFormat="1" applyFont="1" applyBorder="1"/>
    <xf numFmtId="41" fontId="52" fillId="0" borderId="0" xfId="6" applyFont="1" applyBorder="1" applyAlignment="1" applyProtection="1">
      <alignment horizontal="left" indent="1"/>
    </xf>
    <xf numFmtId="182" fontId="50" fillId="19" borderId="98" xfId="8" applyNumberFormat="1" applyFont="1" applyBorder="1"/>
    <xf numFmtId="182" fontId="50" fillId="19" borderId="99" xfId="8" applyNumberFormat="1" applyFont="1" applyBorder="1"/>
    <xf numFmtId="41" fontId="46" fillId="0" borderId="0" xfId="6" applyFont="1" applyBorder="1" applyAlignment="1" applyProtection="1">
      <alignment horizontal="left"/>
    </xf>
    <xf numFmtId="182" fontId="46" fillId="0" borderId="0" xfId="6" applyNumberFormat="1" applyFont="1" applyBorder="1" applyAlignment="1" applyProtection="1">
      <alignment horizontal="left" indent="1"/>
    </xf>
    <xf numFmtId="0" fontId="46" fillId="0" borderId="0" xfId="6" applyNumberFormat="1" applyFont="1" applyBorder="1" applyAlignment="1" applyProtection="1">
      <alignment horizontal="left"/>
    </xf>
    <xf numFmtId="41" fontId="45" fillId="0" borderId="0" xfId="6" applyFont="1" applyBorder="1" applyAlignment="1">
      <alignment horizontal="center"/>
    </xf>
    <xf numFmtId="41" fontId="28" fillId="0" borderId="0" xfId="6" applyFont="1" applyAlignment="1">
      <alignment horizontal="center"/>
    </xf>
    <xf numFmtId="0" fontId="46" fillId="0" borderId="0" xfId="6" applyNumberFormat="1" applyFont="1" applyBorder="1" applyAlignment="1" applyProtection="1">
      <alignment horizontal="center"/>
      <protection locked="0"/>
    </xf>
    <xf numFmtId="182" fontId="45" fillId="19" borderId="95" xfId="9" applyNumberFormat="1" applyFont="1" applyFill="1" applyBorder="1"/>
    <xf numFmtId="182" fontId="45" fillId="19" borderId="94" xfId="9" applyNumberFormat="1" applyFont="1" applyFill="1" applyBorder="1"/>
    <xf numFmtId="0" fontId="0" fillId="0" borderId="0" xfId="0" applyBorder="1"/>
    <xf numFmtId="0" fontId="6" fillId="22" borderId="27" xfId="0" applyFont="1" applyFill="1" applyBorder="1" applyAlignment="1">
      <alignment horizontal="center"/>
    </xf>
    <xf numFmtId="0" fontId="6" fillId="22" borderId="78" xfId="0" applyFont="1" applyFill="1" applyBorder="1" applyAlignment="1">
      <alignment horizontal="center"/>
    </xf>
    <xf numFmtId="0" fontId="6" fillId="22" borderId="28" xfId="0" applyFont="1" applyFill="1" applyBorder="1" applyAlignment="1">
      <alignment horizontal="center"/>
    </xf>
    <xf numFmtId="0" fontId="0" fillId="7" borderId="23" xfId="0" applyFill="1" applyBorder="1"/>
    <xf numFmtId="0" fontId="6" fillId="7" borderId="57" xfId="0" applyFont="1" applyFill="1" applyBorder="1" applyAlignment="1">
      <alignment horizontal="center"/>
    </xf>
    <xf numFmtId="0" fontId="6" fillId="7" borderId="86" xfId="0" applyFont="1" applyFill="1" applyBorder="1" applyAlignment="1">
      <alignment horizontal="center"/>
    </xf>
    <xf numFmtId="0" fontId="6" fillId="7" borderId="87" xfId="0" applyFont="1" applyFill="1" applyBorder="1" applyAlignment="1">
      <alignment horizontal="center"/>
    </xf>
    <xf numFmtId="0" fontId="6" fillId="0" borderId="4" xfId="0" applyFont="1" applyBorder="1"/>
    <xf numFmtId="0" fontId="6" fillId="0" borderId="27" xfId="0" applyFont="1" applyBorder="1" applyAlignment="1">
      <alignment horizontal="center"/>
    </xf>
    <xf numFmtId="0" fontId="6" fillId="0" borderId="78" xfId="0" applyFont="1" applyBorder="1" applyAlignment="1">
      <alignment horizontal="center"/>
    </xf>
    <xf numFmtId="0" fontId="6" fillId="0" borderId="28" xfId="0" quotePrefix="1" applyFont="1" applyBorder="1" applyAlignment="1">
      <alignment horizontal="center"/>
    </xf>
    <xf numFmtId="0" fontId="0" fillId="0" borderId="0" xfId="0" applyBorder="1" applyAlignment="1">
      <alignment horizontal="center"/>
    </xf>
    <xf numFmtId="0" fontId="6" fillId="0" borderId="0" xfId="0" applyFont="1"/>
    <xf numFmtId="0" fontId="0" fillId="0" borderId="24" xfId="0" applyFont="1" applyBorder="1"/>
    <xf numFmtId="10" fontId="0" fillId="0" borderId="52" xfId="0" applyNumberFormat="1" applyBorder="1" applyAlignment="1">
      <alignment horizontal="center"/>
    </xf>
    <xf numFmtId="10" fontId="0" fillId="0" borderId="0" xfId="0" applyNumberFormat="1" applyBorder="1" applyAlignment="1">
      <alignment horizontal="center"/>
    </xf>
    <xf numFmtId="10" fontId="0" fillId="0" borderId="85" xfId="0" applyNumberFormat="1" applyBorder="1" applyAlignment="1">
      <alignment horizontal="center"/>
    </xf>
    <xf numFmtId="0" fontId="0" fillId="0" borderId="24" xfId="0" applyBorder="1"/>
    <xf numFmtId="0" fontId="6" fillId="23" borderId="4" xfId="0" applyFont="1" applyFill="1" applyBorder="1"/>
    <xf numFmtId="10" fontId="6" fillId="23" borderId="27" xfId="0" applyNumberFormat="1" applyFont="1" applyFill="1" applyBorder="1" applyAlignment="1">
      <alignment horizontal="center"/>
    </xf>
    <xf numFmtId="10" fontId="6" fillId="23" borderId="78" xfId="1" applyNumberFormat="1" applyFont="1" applyFill="1" applyBorder="1" applyAlignment="1">
      <alignment horizontal="center"/>
    </xf>
    <xf numFmtId="10" fontId="6" fillId="23" borderId="28" xfId="0" applyNumberFormat="1" applyFont="1" applyFill="1" applyBorder="1" applyAlignment="1">
      <alignment horizontal="center"/>
    </xf>
    <xf numFmtId="10" fontId="6" fillId="23" borderId="78" xfId="0" applyNumberFormat="1" applyFont="1" applyFill="1" applyBorder="1" applyAlignment="1">
      <alignment horizontal="center"/>
    </xf>
    <xf numFmtId="10" fontId="6" fillId="0" borderId="0" xfId="0" applyNumberFormat="1" applyFont="1"/>
    <xf numFmtId="0" fontId="6" fillId="4" borderId="4" xfId="0" applyFont="1" applyFill="1" applyBorder="1" applyAlignment="1">
      <alignment wrapText="1"/>
    </xf>
    <xf numFmtId="10" fontId="6" fillId="4" borderId="27" xfId="0" applyNumberFormat="1" applyFont="1" applyFill="1" applyBorder="1" applyAlignment="1">
      <alignment horizontal="center"/>
    </xf>
    <xf numFmtId="10" fontId="6" fillId="4" borderId="78" xfId="0" applyNumberFormat="1" applyFont="1" applyFill="1" applyBorder="1" applyAlignment="1">
      <alignment horizontal="center"/>
    </xf>
    <xf numFmtId="10" fontId="6" fillId="4" borderId="28" xfId="0" applyNumberFormat="1" applyFont="1" applyFill="1" applyBorder="1" applyAlignment="1">
      <alignment horizontal="center"/>
    </xf>
    <xf numFmtId="0" fontId="0" fillId="0" borderId="0" xfId="0" applyAlignment="1">
      <alignment horizontal="center"/>
    </xf>
    <xf numFmtId="0" fontId="0" fillId="0" borderId="52" xfId="0" applyBorder="1" applyAlignment="1">
      <alignment horizontal="center"/>
    </xf>
    <xf numFmtId="0" fontId="6" fillId="23" borderId="27" xfId="0" applyFont="1" applyFill="1" applyBorder="1" applyAlignment="1">
      <alignment horizontal="center"/>
    </xf>
    <xf numFmtId="10" fontId="0" fillId="23" borderId="28" xfId="0" applyNumberFormat="1" applyFill="1" applyBorder="1" applyAlignment="1">
      <alignment horizontal="center"/>
    </xf>
    <xf numFmtId="0" fontId="6" fillId="4" borderId="0" xfId="0" applyFont="1" applyFill="1" applyBorder="1" applyAlignment="1">
      <alignment horizontal="center"/>
    </xf>
    <xf numFmtId="0" fontId="6" fillId="4" borderId="27" xfId="0" applyFont="1" applyFill="1" applyBorder="1" applyAlignment="1">
      <alignment horizontal="center"/>
    </xf>
    <xf numFmtId="0" fontId="6" fillId="4" borderId="78" xfId="0" applyFont="1" applyFill="1" applyBorder="1" applyAlignment="1">
      <alignment horizontal="center"/>
    </xf>
    <xf numFmtId="0" fontId="6" fillId="4" borderId="28" xfId="0" applyFont="1" applyFill="1" applyBorder="1" applyAlignment="1">
      <alignment horizontal="center"/>
    </xf>
    <xf numFmtId="0" fontId="6" fillId="4" borderId="0" xfId="0" applyFont="1" applyFill="1" applyAlignment="1">
      <alignment horizontal="center"/>
    </xf>
    <xf numFmtId="0" fontId="6" fillId="4" borderId="0" xfId="0" applyFont="1" applyFill="1"/>
  </cellXfs>
  <cellStyles count="13">
    <cellStyle name="20% - Accent3" xfId="3" builtinId="38"/>
    <cellStyle name="40% - Accent3" xfId="4" builtinId="39"/>
    <cellStyle name="Comma" xfId="2" builtinId="3"/>
    <cellStyle name="Currency" xfId="5" builtinId="4"/>
    <cellStyle name="Formula Input" xfId="10"/>
    <cellStyle name="Manual input" xfId="11"/>
    <cellStyle name="Normal" xfId="0" builtinId="0"/>
    <cellStyle name="Normal 2" xfId="6"/>
    <cellStyle name="Normal 2 2" xfId="7"/>
    <cellStyle name="Percent" xfId="1" builtinId="5"/>
    <cellStyle name="Percent 2" xfId="9"/>
    <cellStyle name="Subtotal" xfId="12"/>
    <cellStyle name="Vena Pull" xfId="8"/>
  </cellStyles>
  <dxfs count="205">
    <dxf>
      <fill>
        <patternFill>
          <bgColor rgb="FFFFC000"/>
        </patternFill>
      </fill>
    </dxf>
    <dxf>
      <fill>
        <patternFill>
          <bgColor rgb="FFFF0000"/>
        </patternFill>
      </fill>
    </dxf>
    <dxf>
      <fill>
        <patternFill>
          <bgColor theme="0" tint="-0.14996795556505021"/>
        </patternFill>
      </fill>
    </dxf>
    <dxf>
      <fill>
        <patternFill>
          <bgColor rgb="FFFFC000"/>
        </patternFill>
      </fill>
    </dxf>
    <dxf>
      <fill>
        <patternFill>
          <bgColor rgb="FFFF0000"/>
        </patternFill>
      </fill>
    </dxf>
    <dxf>
      <fill>
        <patternFill>
          <bgColor theme="0" tint="-0.14996795556505021"/>
        </patternFill>
      </fill>
    </dxf>
    <dxf>
      <fill>
        <patternFill>
          <bgColor theme="0" tint="-0.14996795556505021"/>
        </patternFill>
      </fill>
    </dxf>
    <dxf>
      <fill>
        <patternFill>
          <bgColor rgb="FFFFC000"/>
        </patternFill>
      </fill>
    </dxf>
    <dxf>
      <fill>
        <patternFill>
          <bgColor rgb="FFFF0000"/>
        </patternFill>
      </fill>
    </dxf>
    <dxf>
      <fill>
        <patternFill>
          <bgColor theme="0" tint="-0.14996795556505021"/>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theme="0" tint="-0.14996795556505021"/>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theme="0" tint="-0.14996795556505021"/>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rgb="FFFFC000"/>
        </patternFill>
      </fill>
    </dxf>
    <dxf>
      <fill>
        <patternFill>
          <bgColor rgb="FFFF0000"/>
        </patternFill>
      </fill>
    </dxf>
    <dxf>
      <fill>
        <patternFill>
          <bgColor theme="0" tint="-0.14996795556505021"/>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theme="0" tint="-0.14996795556505021"/>
        </patternFill>
      </fill>
    </dxf>
    <dxf>
      <fill>
        <patternFill>
          <bgColor rgb="FFFFC000"/>
        </patternFill>
      </fill>
    </dxf>
    <dxf>
      <fill>
        <patternFill>
          <bgColor rgb="FFFF0000"/>
        </patternFill>
      </fill>
    </dxf>
    <dxf>
      <fill>
        <patternFill>
          <bgColor theme="0" tint="-0.14996795556505021"/>
        </patternFill>
      </fill>
    </dxf>
    <dxf>
      <fill>
        <patternFill>
          <bgColor theme="0" tint="-0.14996795556505021"/>
        </patternFill>
      </fill>
    </dxf>
    <dxf>
      <fill>
        <patternFill>
          <bgColor rgb="FFFFC000"/>
        </patternFill>
      </fill>
    </dxf>
    <dxf>
      <fill>
        <patternFill>
          <bgColor rgb="FFFF0000"/>
        </patternFill>
      </fill>
    </dxf>
    <dxf>
      <fill>
        <patternFill>
          <bgColor theme="0" tint="-0.14996795556505021"/>
        </patternFill>
      </fill>
    </dxf>
    <dxf>
      <fill>
        <patternFill>
          <bgColor rgb="FFFFC000"/>
        </patternFill>
      </fill>
    </dxf>
    <dxf>
      <fill>
        <patternFill>
          <bgColor rgb="FFFF0000"/>
        </patternFill>
      </fill>
    </dxf>
    <dxf>
      <fill>
        <patternFill>
          <bgColor theme="0" tint="-0.14996795556505021"/>
        </patternFill>
      </fill>
    </dxf>
    <dxf>
      <fill>
        <patternFill>
          <bgColor rgb="FFFFC000"/>
        </patternFill>
      </fill>
    </dxf>
    <dxf>
      <fill>
        <patternFill>
          <bgColor rgb="FFFF0000"/>
        </patternFill>
      </fill>
    </dxf>
    <dxf>
      <font>
        <strike val="0"/>
        <outline val="0"/>
        <shadow val="0"/>
        <u val="none"/>
        <vertAlign val="baseline"/>
        <sz val="10"/>
        <color theme="1"/>
        <name val="Calibri"/>
        <scheme val="minor"/>
      </font>
      <numFmt numFmtId="10" formatCode="&quot;$&quot;#,##0_);[Red]\(&quot;$&quot;#,##0\)"/>
      <alignment horizontal="right" vertical="bottom"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0"/>
        <color theme="1"/>
        <name val="Calibri"/>
        <scheme val="minor"/>
      </font>
      <numFmt numFmtId="10" formatCode="&quot;$&quot;#,##0_);[Red]\(&quot;$&quot;#,##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theme="1"/>
        <name val="Calibri"/>
        <scheme val="minor"/>
      </font>
      <numFmt numFmtId="10" formatCode="&quot;$&quot;#,##0_);[Red]\(&quot;$&quot;#,##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theme="1"/>
        <name val="Calibri"/>
        <scheme val="minor"/>
      </font>
      <numFmt numFmtId="10" formatCode="&quot;$&quot;#,##0_);[Red]\(&quot;$&quot;#,##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theme="1"/>
        <name val="Calibri"/>
        <scheme val="minor"/>
      </font>
      <numFmt numFmtId="30" formatCode="@"/>
      <alignment horizontal="left" vertical="top"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theme="1"/>
        <name val="Calibri"/>
        <scheme val="minor"/>
      </font>
      <numFmt numFmtId="30" formatCode="@"/>
      <alignment horizontal="right" vertical="bottom" textRotation="0" wrapText="0" indent="0" justifyLastLine="0" shrinkToFit="0" readingOrder="0"/>
    </dxf>
    <dxf>
      <border outline="0">
        <bottom style="thin">
          <color indexed="64"/>
        </bottom>
      </border>
    </dxf>
    <dxf>
      <font>
        <strike val="0"/>
        <outline val="0"/>
        <shadow val="0"/>
        <u val="none"/>
        <vertAlign val="baseline"/>
        <sz val="10"/>
        <color theme="1"/>
        <name val="Calibri"/>
        <scheme val="minor"/>
      </font>
      <numFmt numFmtId="30" formatCode="@"/>
      <alignment horizontal="center"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theme="1"/>
        <name val="Calibri"/>
        <scheme val="minor"/>
      </font>
      <numFmt numFmtId="10" formatCode="&quot;$&quot;#,##0_);[Red]\(&quot;$&quot;#,##0\)"/>
      <alignment horizontal="right" vertical="bottom"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0"/>
        <color theme="1"/>
        <name val="Calibri"/>
        <scheme val="minor"/>
      </font>
      <numFmt numFmtId="10" formatCode="&quot;$&quot;#,##0_);[Red]\(&quot;$&quot;#,##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theme="1"/>
        <name val="Calibri"/>
        <scheme val="minor"/>
      </font>
      <numFmt numFmtId="10" formatCode="&quot;$&quot;#,##0_);[Red]\(&quot;$&quot;#,##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theme="1"/>
        <name val="Calibri"/>
        <scheme val="minor"/>
      </font>
      <numFmt numFmtId="10" formatCode="&quot;$&quot;#,##0_);[Red]\(&quot;$&quot;#,##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theme="1"/>
        <name val="Calibri"/>
        <scheme val="minor"/>
      </font>
      <numFmt numFmtId="30" formatCode="@"/>
      <alignment horizontal="left" vertical="top"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theme="1"/>
        <name val="Calibri"/>
        <scheme val="minor"/>
      </font>
      <numFmt numFmtId="30" formatCode="@"/>
      <alignment horizontal="right" vertical="bottom" textRotation="0" wrapText="0" indent="0" justifyLastLine="0" shrinkToFit="0" readingOrder="0"/>
    </dxf>
    <dxf>
      <border outline="0">
        <bottom style="thin">
          <color indexed="64"/>
        </bottom>
      </border>
    </dxf>
    <dxf>
      <font>
        <strike val="0"/>
        <outline val="0"/>
        <shadow val="0"/>
        <u val="none"/>
        <vertAlign val="baseline"/>
        <sz val="10"/>
        <color theme="1"/>
        <name val="Calibri"/>
        <scheme val="minor"/>
      </font>
      <numFmt numFmtId="30" formatCode="@"/>
      <alignment horizontal="center" vertical="center" textRotation="0" wrapText="0" indent="0" justifyLastLine="0" shrinkToFit="0" readingOrder="0"/>
      <border diagonalUp="0" diagonalDown="0" outline="0">
        <left style="thin">
          <color indexed="64"/>
        </left>
        <right style="thin">
          <color indexed="64"/>
        </right>
        <top/>
        <bottom/>
      </border>
    </dxf>
    <dxf>
      <font>
        <strike val="0"/>
        <outline val="0"/>
        <shadow val="0"/>
        <vertAlign val="baseline"/>
        <sz val="10"/>
      </font>
      <numFmt numFmtId="179" formatCode="_(&quot;$&quot;* #,##0_);_(&quot;$&quot;* \(#,##0\);_(&quot;$&quot;* &quot;-&quot;??_);_(@_)"/>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vertAlign val="baseline"/>
        <sz val="10"/>
      </font>
      <numFmt numFmtId="179" formatCode="_(&quot;$&quot;* #,##0_);_(&quot;$&quot;* \(#,##0\);_(&quot;$&quot;* &quot;-&quot;??_);_(@_)"/>
      <alignment horizontal="left" vertical="top"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vertAlign val="baseline"/>
        <sz val="10"/>
      </font>
      <numFmt numFmtId="179" formatCode="_(&quot;$&quot;* #,##0_);_(&quot;$&quot;* \(#,##0\);_(&quot;$&quot;* &quot;-&quot;??_);_(@_)"/>
      <alignment horizontal="left" vertical="top"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vertAlign val="baseline"/>
        <sz val="10"/>
      </font>
      <numFmt numFmtId="179" formatCode="_(&quot;$&quot;* #,##0_);_(&quot;$&quot;* \(#,##0\);_(&quot;$&quot;* &quot;-&quot;??_);_(@_)"/>
      <alignment horizontal="left" vertical="top" textRotation="0" wrapText="0" indent="0" justifyLastLine="0" shrinkToFit="0" readingOrder="0"/>
      <border diagonalUp="0" diagonalDown="0" outline="0">
        <left/>
        <right/>
        <top style="thin">
          <color indexed="64"/>
        </top>
        <bottom style="thin">
          <color indexed="64"/>
        </bottom>
      </border>
    </dxf>
    <dxf>
      <font>
        <strike val="0"/>
        <outline val="0"/>
        <shadow val="0"/>
        <vertAlign val="baseline"/>
        <sz val="10"/>
      </font>
      <numFmt numFmtId="30" formatCode="@"/>
      <alignment horizontal="left" vertical="top" textRotation="0" wrapText="0" indent="0" justifyLastLine="0" shrinkToFit="0" readingOrder="0"/>
      <border diagonalUp="0" diagonalDown="0" outline="0">
        <left/>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ont>
        <strike val="0"/>
        <outline val="0"/>
        <shadow val="0"/>
        <vertAlign val="baseline"/>
        <sz val="10"/>
      </font>
      <numFmt numFmtId="30" formatCode="@"/>
      <alignment horizontal="left" vertical="top"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1"/>
        <name val="Calibri"/>
        <scheme val="minor"/>
      </font>
      <numFmt numFmtId="30" formatCode="@"/>
      <alignment horizontal="left" vertical="top" textRotation="0" wrapText="0" indent="0" justifyLastLine="0" shrinkToFit="0" readingOrder="0"/>
    </dxf>
    <dxf>
      <font>
        <strike val="0"/>
        <outline val="0"/>
        <shadow val="0"/>
        <u val="none"/>
        <vertAlign val="baseline"/>
        <sz val="10"/>
        <color theme="1"/>
        <name val="Calibri"/>
        <scheme val="minor"/>
      </font>
      <numFmt numFmtId="10" formatCode="&quot;$&quot;#,##0_);[Red]\(&quot;$&quot;#,##0\)"/>
      <alignment horizontal="right" vertical="bottom"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0"/>
        <color theme="1"/>
        <name val="Calibri"/>
        <scheme val="minor"/>
      </font>
      <numFmt numFmtId="10" formatCode="&quot;$&quot;#,##0_);[Red]\(&quot;$&quot;#,##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theme="1"/>
        <name val="Calibri"/>
        <scheme val="minor"/>
      </font>
      <numFmt numFmtId="10" formatCode="&quot;$&quot;#,##0_);[Red]\(&quot;$&quot;#,##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theme="1"/>
        <name val="Calibri"/>
        <scheme val="minor"/>
      </font>
      <numFmt numFmtId="10" formatCode="&quot;$&quot;#,##0_);[Red]\(&quot;$&quot;#,##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theme="1"/>
        <name val="Calibri"/>
        <scheme val="minor"/>
      </font>
      <numFmt numFmtId="30" formatCode="@"/>
      <alignment horizontal="left" vertical="top"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theme="1"/>
        <name val="Calibri"/>
        <scheme val="minor"/>
      </font>
      <numFmt numFmtId="30" formatCode="@"/>
      <alignment horizontal="right" vertical="bottom" textRotation="0" wrapText="0" indent="0" justifyLastLine="0" shrinkToFit="0" readingOrder="0"/>
    </dxf>
    <dxf>
      <border outline="0">
        <bottom style="thin">
          <color indexed="64"/>
        </bottom>
      </border>
    </dxf>
    <dxf>
      <font>
        <strike val="0"/>
        <outline val="0"/>
        <shadow val="0"/>
        <u val="none"/>
        <vertAlign val="baseline"/>
        <sz val="10"/>
        <color theme="1"/>
        <name val="Calibri"/>
        <scheme val="minor"/>
      </font>
      <numFmt numFmtId="30" formatCode="@"/>
      <alignment horizontal="center"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theme="1"/>
        <name val="Calibri"/>
        <scheme val="minor"/>
      </font>
      <numFmt numFmtId="10" formatCode="&quot;$&quot;#,##0_);[Red]\(&quot;$&quot;#,##0\)"/>
      <alignment horizontal="right" vertical="bottom"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0"/>
        <color theme="1"/>
        <name val="Calibri"/>
        <scheme val="minor"/>
      </font>
      <numFmt numFmtId="10" formatCode="&quot;$&quot;#,##0_);[Red]\(&quot;$&quot;#,##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theme="1"/>
        <name val="Calibri"/>
        <scheme val="minor"/>
      </font>
      <numFmt numFmtId="10" formatCode="&quot;$&quot;#,##0_);[Red]\(&quot;$&quot;#,##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theme="1"/>
        <name val="Calibri"/>
        <scheme val="minor"/>
      </font>
      <numFmt numFmtId="10" formatCode="&quot;$&quot;#,##0_);[Red]\(&quot;$&quot;#,##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theme="1"/>
        <name val="Calibri"/>
        <scheme val="minor"/>
      </font>
      <numFmt numFmtId="30" formatCode="@"/>
      <alignment horizontal="left" vertical="top"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theme="1"/>
        <name val="Calibri"/>
        <scheme val="minor"/>
      </font>
      <numFmt numFmtId="30" formatCode="@"/>
      <alignment horizontal="right" vertical="bottom" textRotation="0" wrapText="0" indent="0" justifyLastLine="0" shrinkToFit="0" readingOrder="0"/>
    </dxf>
    <dxf>
      <border outline="0">
        <bottom style="thin">
          <color indexed="64"/>
        </bottom>
      </border>
    </dxf>
    <dxf>
      <font>
        <strike val="0"/>
        <outline val="0"/>
        <shadow val="0"/>
        <u val="none"/>
        <vertAlign val="baseline"/>
        <sz val="10"/>
        <color theme="1"/>
        <name val="Calibri"/>
        <scheme val="minor"/>
      </font>
      <numFmt numFmtId="30" formatCode="@"/>
      <alignment horizontal="center"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theme="1"/>
        <name val="Calibri"/>
        <scheme val="minor"/>
      </font>
      <numFmt numFmtId="10" formatCode="&quot;$&quot;#,##0_);[Red]\(&quot;$&quot;#,##0\)"/>
      <alignment horizontal="right" vertical="bottom"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0"/>
        <color theme="1"/>
        <name val="Calibri"/>
        <scheme val="minor"/>
      </font>
      <numFmt numFmtId="10" formatCode="&quot;$&quot;#,##0_);[Red]\(&quot;$&quot;#,##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theme="1"/>
        <name val="Calibri"/>
        <scheme val="minor"/>
      </font>
      <numFmt numFmtId="10" formatCode="&quot;$&quot;#,##0_);[Red]\(&quot;$&quot;#,##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theme="1"/>
        <name val="Calibri"/>
        <scheme val="minor"/>
      </font>
      <numFmt numFmtId="10" formatCode="&quot;$&quot;#,##0_);[Red]\(&quot;$&quot;#,##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theme="1"/>
        <name val="Calibri"/>
        <scheme val="minor"/>
      </font>
      <numFmt numFmtId="30" formatCode="@"/>
      <alignment horizontal="left" vertical="top"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theme="1"/>
        <name val="Calibri"/>
        <scheme val="minor"/>
      </font>
      <numFmt numFmtId="30" formatCode="@"/>
      <alignment horizontal="right" vertical="bottom" textRotation="0" wrapText="0" indent="0" justifyLastLine="0" shrinkToFit="0" readingOrder="0"/>
    </dxf>
    <dxf>
      <border outline="0">
        <bottom style="thin">
          <color indexed="64"/>
        </bottom>
      </border>
    </dxf>
    <dxf>
      <font>
        <strike val="0"/>
        <outline val="0"/>
        <shadow val="0"/>
        <u val="none"/>
        <vertAlign val="baseline"/>
        <sz val="10"/>
        <color theme="1"/>
        <name val="Calibri"/>
        <scheme val="minor"/>
      </font>
      <numFmt numFmtId="30" formatCode="@"/>
      <alignment horizontal="center"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theme="1"/>
        <name val="Calibri"/>
        <scheme val="minor"/>
      </font>
      <numFmt numFmtId="10" formatCode="&quot;$&quot;#,##0_);[Red]\(&quot;$&quot;#,##0\)"/>
      <alignment horizontal="right" vertical="bottom"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0"/>
        <color theme="1"/>
        <name val="Calibri"/>
        <scheme val="minor"/>
      </font>
      <numFmt numFmtId="10" formatCode="&quot;$&quot;#,##0_);[Red]\(&quot;$&quot;#,##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theme="1"/>
        <name val="Calibri"/>
        <scheme val="minor"/>
      </font>
      <numFmt numFmtId="10" formatCode="&quot;$&quot;#,##0_);[Red]\(&quot;$&quot;#,##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theme="1"/>
        <name val="Calibri"/>
        <scheme val="minor"/>
      </font>
      <numFmt numFmtId="10" formatCode="&quot;$&quot;#,##0_);[Red]\(&quot;$&quot;#,##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theme="1"/>
        <name val="Calibri"/>
        <scheme val="minor"/>
      </font>
      <numFmt numFmtId="30" formatCode="@"/>
      <alignment horizontal="left" vertical="top"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theme="1"/>
        <name val="Calibri"/>
        <scheme val="minor"/>
      </font>
      <numFmt numFmtId="30" formatCode="@"/>
      <alignment horizontal="right" vertical="bottom" textRotation="0" wrapText="0" indent="0" justifyLastLine="0" shrinkToFit="0" readingOrder="0"/>
    </dxf>
    <dxf>
      <border outline="0">
        <bottom style="thin">
          <color indexed="64"/>
        </bottom>
      </border>
    </dxf>
    <dxf>
      <font>
        <strike val="0"/>
        <outline val="0"/>
        <shadow val="0"/>
        <u val="none"/>
        <vertAlign val="baseline"/>
        <sz val="10"/>
        <color theme="1"/>
        <name val="Calibri"/>
        <scheme val="minor"/>
      </font>
      <numFmt numFmtId="30" formatCode="@"/>
      <alignment horizontal="center"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theme="1"/>
        <name val="Calibri"/>
        <scheme val="minor"/>
      </font>
      <numFmt numFmtId="10" formatCode="&quot;$&quot;#,##0_);[Red]\(&quot;$&quot;#,##0\)"/>
      <alignment horizontal="right" vertical="bottom"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0"/>
        <color theme="1"/>
        <name val="Calibri"/>
        <scheme val="minor"/>
      </font>
      <numFmt numFmtId="10" formatCode="&quot;$&quot;#,##0_);[Red]\(&quot;$&quot;#,##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theme="1"/>
        <name val="Calibri"/>
        <scheme val="minor"/>
      </font>
      <numFmt numFmtId="10" formatCode="&quot;$&quot;#,##0_);[Red]\(&quot;$&quot;#,##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theme="1"/>
        <name val="Calibri"/>
        <scheme val="minor"/>
      </font>
      <numFmt numFmtId="10" formatCode="&quot;$&quot;#,##0_);[Red]\(&quot;$&quot;#,##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theme="1"/>
        <name val="Calibri"/>
        <scheme val="minor"/>
      </font>
      <numFmt numFmtId="30" formatCode="@"/>
      <alignment horizontal="left" vertical="top"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theme="1"/>
        <name val="Calibri"/>
        <scheme val="minor"/>
      </font>
      <numFmt numFmtId="30" formatCode="@"/>
      <alignment horizontal="right" vertical="bottom" textRotation="0" wrapText="0" indent="0" justifyLastLine="0" shrinkToFit="0" readingOrder="0"/>
    </dxf>
    <dxf>
      <border outline="0">
        <bottom style="thin">
          <color indexed="64"/>
        </bottom>
      </border>
    </dxf>
    <dxf>
      <font>
        <strike val="0"/>
        <outline val="0"/>
        <shadow val="0"/>
        <u val="none"/>
        <vertAlign val="baseline"/>
        <sz val="10"/>
        <color theme="1"/>
        <name val="Calibri"/>
        <scheme val="minor"/>
      </font>
      <numFmt numFmtId="30" formatCode="@"/>
      <alignment horizontal="center"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theme="1"/>
        <name val="Calibri"/>
        <scheme val="minor"/>
      </font>
      <numFmt numFmtId="10" formatCode="&quot;$&quot;#,##0_);[Red]\(&quot;$&quot;#,##0\)"/>
      <alignment horizontal="right" vertical="bottom"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0"/>
        <color theme="1"/>
        <name val="Calibri"/>
        <scheme val="minor"/>
      </font>
      <numFmt numFmtId="10" formatCode="&quot;$&quot;#,##0_);[Red]\(&quot;$&quot;#,##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theme="1"/>
        <name val="Calibri"/>
        <scheme val="minor"/>
      </font>
      <numFmt numFmtId="10" formatCode="&quot;$&quot;#,##0_);[Red]\(&quot;$&quot;#,##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theme="1"/>
        <name val="Calibri"/>
        <scheme val="minor"/>
      </font>
      <numFmt numFmtId="10" formatCode="&quot;$&quot;#,##0_);[Red]\(&quot;$&quot;#,##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theme="1"/>
        <name val="Calibri"/>
        <scheme val="minor"/>
      </font>
      <numFmt numFmtId="30" formatCode="@"/>
      <alignment horizontal="left" vertical="top"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theme="1"/>
        <name val="Calibri"/>
        <scheme val="minor"/>
      </font>
      <numFmt numFmtId="30" formatCode="@"/>
      <alignment horizontal="right" vertical="bottom" textRotation="0" wrapText="0" indent="0" justifyLastLine="0" shrinkToFit="0" readingOrder="0"/>
    </dxf>
    <dxf>
      <border outline="0">
        <bottom style="thin">
          <color indexed="64"/>
        </bottom>
      </border>
    </dxf>
    <dxf>
      <font>
        <strike val="0"/>
        <outline val="0"/>
        <shadow val="0"/>
        <u val="none"/>
        <vertAlign val="baseline"/>
        <sz val="10"/>
        <color theme="1"/>
        <name val="Calibri"/>
        <scheme val="minor"/>
      </font>
      <numFmt numFmtId="30" formatCode="@"/>
      <alignment horizontal="center"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theme="1"/>
        <name val="Calibri"/>
        <scheme val="minor"/>
      </font>
      <numFmt numFmtId="10" formatCode="&quot;$&quot;#,##0_);[Red]\(&quot;$&quot;#,##0\)"/>
      <alignment horizontal="right" vertical="bottom"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0"/>
        <color theme="1"/>
        <name val="Calibri"/>
        <scheme val="minor"/>
      </font>
      <numFmt numFmtId="10" formatCode="&quot;$&quot;#,##0_);[Red]\(&quot;$&quot;#,##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theme="1"/>
        <name val="Calibri"/>
        <scheme val="minor"/>
      </font>
      <numFmt numFmtId="10" formatCode="&quot;$&quot;#,##0_);[Red]\(&quot;$&quot;#,##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theme="1"/>
        <name val="Calibri"/>
        <scheme val="minor"/>
      </font>
      <numFmt numFmtId="10" formatCode="&quot;$&quot;#,##0_);[Red]\(&quot;$&quot;#,##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theme="1"/>
        <name val="Calibri"/>
        <scheme val="minor"/>
      </font>
      <numFmt numFmtId="30" formatCode="@"/>
      <alignment horizontal="left" vertical="top"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theme="1"/>
        <name val="Calibri"/>
        <scheme val="minor"/>
      </font>
      <numFmt numFmtId="30" formatCode="@"/>
      <alignment horizontal="right" vertical="bottom" textRotation="0" wrapText="0" indent="0" justifyLastLine="0" shrinkToFit="0" readingOrder="0"/>
    </dxf>
    <dxf>
      <border outline="0">
        <bottom style="thin">
          <color indexed="64"/>
        </bottom>
      </border>
    </dxf>
    <dxf>
      <font>
        <strike val="0"/>
        <outline val="0"/>
        <shadow val="0"/>
        <u val="none"/>
        <vertAlign val="baseline"/>
        <sz val="10"/>
        <color theme="1"/>
        <name val="Calibri"/>
        <scheme val="minor"/>
      </font>
      <numFmt numFmtId="30" formatCode="@"/>
      <alignment horizontal="center"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theme="1"/>
        <name val="Calibri"/>
        <scheme val="minor"/>
      </font>
      <numFmt numFmtId="10" formatCode="&quot;$&quot;#,##0_);[Red]\(&quot;$&quot;#,##0\)"/>
      <alignment horizontal="right" vertical="bottom"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0"/>
        <color theme="1"/>
        <name val="Calibri"/>
        <scheme val="minor"/>
      </font>
      <numFmt numFmtId="10" formatCode="&quot;$&quot;#,##0_);[Red]\(&quot;$&quot;#,##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theme="1"/>
        <name val="Calibri"/>
        <scheme val="minor"/>
      </font>
      <numFmt numFmtId="10" formatCode="&quot;$&quot;#,##0_);[Red]\(&quot;$&quot;#,##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theme="1"/>
        <name val="Calibri"/>
        <scheme val="minor"/>
      </font>
      <numFmt numFmtId="10" formatCode="&quot;$&quot;#,##0_);[Red]\(&quot;$&quot;#,##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theme="1"/>
        <name val="Calibri"/>
        <scheme val="minor"/>
      </font>
      <numFmt numFmtId="30" formatCode="@"/>
      <alignment horizontal="left" vertical="top"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theme="1"/>
        <name val="Calibri"/>
        <scheme val="minor"/>
      </font>
      <numFmt numFmtId="30" formatCode="@"/>
      <alignment horizontal="right" vertical="bottom" textRotation="0" wrapText="0" indent="0" justifyLastLine="0" shrinkToFit="0" readingOrder="0"/>
    </dxf>
    <dxf>
      <border outline="0">
        <bottom style="thin">
          <color indexed="64"/>
        </bottom>
      </border>
    </dxf>
    <dxf>
      <font>
        <strike val="0"/>
        <outline val="0"/>
        <shadow val="0"/>
        <u val="none"/>
        <vertAlign val="baseline"/>
        <sz val="10"/>
        <color theme="1"/>
        <name val="Calibri"/>
        <scheme val="minor"/>
      </font>
      <numFmt numFmtId="30" formatCode="@"/>
      <alignment horizontal="center"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theme="1"/>
        <name val="Calibri"/>
        <scheme val="minor"/>
      </font>
      <numFmt numFmtId="10" formatCode="&quot;$&quot;#,##0_);[Red]\(&quot;$&quot;#,##0\)"/>
      <alignment horizontal="right" vertical="bottom"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0"/>
        <color theme="1"/>
        <name val="Calibri"/>
        <scheme val="minor"/>
      </font>
      <numFmt numFmtId="10" formatCode="&quot;$&quot;#,##0_);[Red]\(&quot;$&quot;#,##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theme="1"/>
        <name val="Calibri"/>
        <scheme val="minor"/>
      </font>
      <numFmt numFmtId="10" formatCode="&quot;$&quot;#,##0_);[Red]\(&quot;$&quot;#,##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theme="1"/>
        <name val="Calibri"/>
        <scheme val="minor"/>
      </font>
      <numFmt numFmtId="10" formatCode="&quot;$&quot;#,##0_);[Red]\(&quot;$&quot;#,##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theme="1"/>
        <name val="Calibri"/>
        <scheme val="minor"/>
      </font>
      <numFmt numFmtId="30" formatCode="@"/>
      <alignment horizontal="left" vertical="top"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theme="1"/>
        <name val="Calibri"/>
        <scheme val="minor"/>
      </font>
      <numFmt numFmtId="30" formatCode="@"/>
      <alignment horizontal="right" vertical="bottom" textRotation="0" wrapText="0" indent="0" justifyLastLine="0" shrinkToFit="0" readingOrder="0"/>
    </dxf>
    <dxf>
      <border outline="0">
        <bottom style="thin">
          <color indexed="64"/>
        </bottom>
      </border>
    </dxf>
    <dxf>
      <font>
        <strike val="0"/>
        <outline val="0"/>
        <shadow val="0"/>
        <u val="none"/>
        <vertAlign val="baseline"/>
        <sz val="10"/>
        <color theme="1"/>
        <name val="Calibri"/>
        <scheme val="minor"/>
      </font>
      <numFmt numFmtId="30" formatCode="@"/>
      <alignment horizontal="center"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theme="1"/>
        <name val="Calibri"/>
        <scheme val="minor"/>
      </font>
      <numFmt numFmtId="10" formatCode="&quot;$&quot;#,##0_);[Red]\(&quot;$&quot;#,##0\)"/>
      <alignment horizontal="right" vertical="bottom"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0"/>
        <color theme="1"/>
        <name val="Calibri"/>
        <scheme val="minor"/>
      </font>
      <numFmt numFmtId="10" formatCode="&quot;$&quot;#,##0_);[Red]\(&quot;$&quot;#,##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theme="1"/>
        <name val="Calibri"/>
        <scheme val="minor"/>
      </font>
      <numFmt numFmtId="10" formatCode="&quot;$&quot;#,##0_);[Red]\(&quot;$&quot;#,##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theme="1"/>
        <name val="Calibri"/>
        <scheme val="minor"/>
      </font>
      <numFmt numFmtId="10" formatCode="&quot;$&quot;#,##0_);[Red]\(&quot;$&quot;#,##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theme="1"/>
        <name val="Calibri"/>
        <scheme val="minor"/>
      </font>
      <numFmt numFmtId="30" formatCode="@"/>
      <alignment horizontal="left" vertical="top"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theme="1"/>
        <name val="Calibri"/>
        <scheme val="minor"/>
      </font>
      <numFmt numFmtId="30" formatCode="@"/>
      <alignment horizontal="right" vertical="bottom" textRotation="0" wrapText="0" indent="0" justifyLastLine="0" shrinkToFit="0" readingOrder="0"/>
    </dxf>
    <dxf>
      <border outline="0">
        <bottom style="thin">
          <color indexed="64"/>
        </bottom>
      </border>
    </dxf>
    <dxf>
      <font>
        <strike val="0"/>
        <outline val="0"/>
        <shadow val="0"/>
        <u val="none"/>
        <vertAlign val="baseline"/>
        <sz val="10"/>
        <color theme="1"/>
        <name val="Calibri"/>
        <scheme val="minor"/>
      </font>
      <numFmt numFmtId="30" formatCode="@"/>
      <alignment horizontal="center"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theme="1"/>
        <name val="Calibri"/>
        <scheme val="minor"/>
      </font>
      <numFmt numFmtId="10" formatCode="&quot;$&quot;#,##0_);[Red]\(&quot;$&quot;#,##0\)"/>
      <alignment horizontal="right" vertical="bottom"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0"/>
        <color theme="1"/>
        <name val="Calibri"/>
        <scheme val="minor"/>
      </font>
      <numFmt numFmtId="10" formatCode="&quot;$&quot;#,##0_);[Red]\(&quot;$&quot;#,##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theme="1"/>
        <name val="Calibri"/>
        <scheme val="minor"/>
      </font>
      <numFmt numFmtId="10" formatCode="&quot;$&quot;#,##0_);[Red]\(&quot;$&quot;#,##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strike val="0"/>
        <outline val="0"/>
        <shadow val="0"/>
        <u val="none"/>
        <vertAlign val="baseline"/>
        <sz val="10"/>
        <color theme="1"/>
        <name val="Calibri"/>
        <scheme val="minor"/>
      </font>
      <numFmt numFmtId="10" formatCode="&quot;$&quot;#,##0_);[Red]\(&quot;$&quot;#,##0\)"/>
      <alignment horizontal="right" vertical="bottom" textRotation="0" wrapText="0" indent="0" justifyLastLine="0" shrinkToFit="0" readingOrder="0"/>
      <border diagonalUp="0" diagonalDown="0" outline="0">
        <left style="medium">
          <color indexed="64"/>
        </left>
        <right/>
        <top/>
        <bottom style="medium">
          <color indexed="64"/>
        </bottom>
      </border>
    </dxf>
    <dxf>
      <font>
        <strike val="0"/>
        <outline val="0"/>
        <shadow val="0"/>
        <u val="none"/>
        <vertAlign val="baseline"/>
        <sz val="10"/>
        <color theme="1"/>
        <name val="Calibri"/>
        <scheme val="minor"/>
      </font>
      <numFmt numFmtId="30" formatCode="@"/>
      <alignment horizontal="left" vertical="top"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0"/>
      </font>
    </dxf>
    <dxf>
      <border outline="0">
        <bottom style="thin">
          <color indexed="64"/>
        </bottom>
      </border>
    </dxf>
    <dxf>
      <font>
        <b val="0"/>
        <i val="0"/>
        <strike val="0"/>
        <condense val="0"/>
        <extend val="0"/>
        <outline val="0"/>
        <shadow val="0"/>
        <u val="none"/>
        <vertAlign val="baseline"/>
        <sz val="10"/>
        <color theme="1"/>
        <name val="Calibri"/>
        <scheme val="minor"/>
      </font>
    </dxf>
  </dxfs>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1.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charts/_rels/chart1.xml.rels><?xml version="1.0" encoding="UTF-8" standalone="yes"?>
<Relationships xmlns="http://schemas.openxmlformats.org/package/2006/relationships"><Relationship Id="rId3" Type="http://schemas.microsoft.com/office/2011/relationships/chartStyle" Target="style1.xml"/><Relationship Id="rId2" Type="http://schemas.microsoft.com/office/2011/relationships/chartColorStyle" Target="colors1.xml"/><Relationship Id="rId1" Type="http://schemas.openxmlformats.org/officeDocument/2006/relationships/themeOverride" Target="../theme/themeOverride1.xml"/></Relationships>
</file>

<file path=xl/charts/_rels/chart12.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3.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4.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5.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6.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3" Type="http://schemas.microsoft.com/office/2011/relationships/chartStyle" Target="style2.xml"/><Relationship Id="rId2" Type="http://schemas.microsoft.com/office/2011/relationships/chartColorStyle" Target="colors2.xml"/><Relationship Id="rId1" Type="http://schemas.openxmlformats.org/officeDocument/2006/relationships/themeOverride" Target="../theme/themeOverrid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Total Capital Ratio</a:t>
            </a:r>
            <a:r>
              <a:rPr lang="en-US" sz="1400" b="0" i="0" u="none" strike="noStrike" baseline="0"/>
              <a:t> </a:t>
            </a:r>
            <a:endParaRPr lang="en-US" b="0"/>
          </a:p>
        </c:rich>
      </c:tx>
      <c:overlay val="0"/>
      <c:spPr>
        <a:noFill/>
        <a:ln>
          <a:noFill/>
        </a:ln>
        <a:effectLst/>
      </c:spPr>
    </c:title>
    <c:autoTitleDeleted val="0"/>
    <c:plotArea>
      <c:layout>
        <c:manualLayout>
          <c:layoutTarget val="inner"/>
          <c:xMode val="edge"/>
          <c:yMode val="edge"/>
          <c:x val="0.1235052400364848"/>
          <c:y val="0.1874465811965812"/>
          <c:w val="0.85580918076729762"/>
          <c:h val="0.57511482939632541"/>
        </c:manualLayout>
      </c:layout>
      <c:lineChart>
        <c:grouping val="standard"/>
        <c:varyColors val="0"/>
        <c:ser>
          <c:idx val="0"/>
          <c:order val="0"/>
          <c:tx>
            <c:strRef>
              <c:f>TCR!$B$3</c:f>
              <c:strCache>
                <c:ptCount val="1"/>
                <c:pt idx="0">
                  <c:v>Total Capital Ratio</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TCR!$G$2:$U$2</c:f>
              <c:numCache>
                <c:formatCode>mmm\-yy</c:formatCode>
                <c:ptCount val="15"/>
                <c:pt idx="0">
                  <c:v>42005</c:v>
                </c:pt>
                <c:pt idx="1">
                  <c:v>42036</c:v>
                </c:pt>
                <c:pt idx="2">
                  <c:v>42064</c:v>
                </c:pt>
                <c:pt idx="3">
                  <c:v>42095</c:v>
                </c:pt>
                <c:pt idx="4">
                  <c:v>42125</c:v>
                </c:pt>
                <c:pt idx="5">
                  <c:v>42156</c:v>
                </c:pt>
                <c:pt idx="6">
                  <c:v>42186</c:v>
                </c:pt>
                <c:pt idx="7">
                  <c:v>42217</c:v>
                </c:pt>
                <c:pt idx="8">
                  <c:v>42248</c:v>
                </c:pt>
                <c:pt idx="9">
                  <c:v>42278</c:v>
                </c:pt>
                <c:pt idx="10">
                  <c:v>42309</c:v>
                </c:pt>
                <c:pt idx="11">
                  <c:v>42339</c:v>
                </c:pt>
                <c:pt idx="12">
                  <c:v>42370</c:v>
                </c:pt>
                <c:pt idx="13">
                  <c:v>42401</c:v>
                </c:pt>
                <c:pt idx="14">
                  <c:v>42430</c:v>
                </c:pt>
              </c:numCache>
            </c:numRef>
          </c:cat>
          <c:val>
            <c:numRef>
              <c:f>TCR!$G$3:$U$3</c:f>
              <c:numCache>
                <c:formatCode>0.00%</c:formatCode>
                <c:ptCount val="15"/>
                <c:pt idx="0">
                  <c:v>0.11549073350973234</c:v>
                </c:pt>
                <c:pt idx="1">
                  <c:v>0.11711556349717431</c:v>
                </c:pt>
                <c:pt idx="2">
                  <c:v>0.11450451008776283</c:v>
                </c:pt>
                <c:pt idx="3">
                  <c:v>0.11855070162822255</c:v>
                </c:pt>
                <c:pt idx="4">
                  <c:v>0.12094920684226208</c:v>
                </c:pt>
                <c:pt idx="5">
                  <c:v>0.12165226105540251</c:v>
                </c:pt>
                <c:pt idx="6">
                  <c:v>0.12028687348049819</c:v>
                </c:pt>
                <c:pt idx="7">
                  <c:v>0.12031292034765875</c:v>
                </c:pt>
                <c:pt idx="8">
                  <c:v>0.12563807618624409</c:v>
                </c:pt>
                <c:pt idx="9">
                  <c:v>0.12634836628030274</c:v>
                </c:pt>
                <c:pt idx="10">
                  <c:v>0.129937928130927</c:v>
                </c:pt>
                <c:pt idx="11">
                  <c:v>0.12459271706784888</c:v>
                </c:pt>
                <c:pt idx="12">
                  <c:v>0.1239767675999609</c:v>
                </c:pt>
                <c:pt idx="13">
                  <c:v>0.12623006595188824</c:v>
                </c:pt>
                <c:pt idx="14">
                  <c:v>0.13395812724219561</c:v>
                </c:pt>
              </c:numCache>
            </c:numRef>
          </c:val>
          <c:smooth val="0"/>
        </c:ser>
        <c:ser>
          <c:idx val="1"/>
          <c:order val="1"/>
          <c:tx>
            <c:strRef>
              <c:f>TCR!$F$35</c:f>
              <c:strCache>
                <c:ptCount val="1"/>
                <c:pt idx="0">
                  <c:v>Amber Trigger</c:v>
                </c:pt>
              </c:strCache>
            </c:strRef>
          </c:tx>
          <c:spPr>
            <a:ln w="28575" cap="rnd">
              <a:solidFill>
                <a:srgbClr val="FFC000"/>
              </a:solidFill>
              <a:prstDash val="sysDash"/>
              <a:round/>
            </a:ln>
            <a:effectLst/>
          </c:spPr>
          <c:marker>
            <c:symbol val="none"/>
          </c:marker>
          <c:dLbls>
            <c:delete val="1"/>
          </c:dLbls>
          <c:cat>
            <c:numRef>
              <c:f>TCR!$G$2:$U$2</c:f>
              <c:numCache>
                <c:formatCode>mmm\-yy</c:formatCode>
                <c:ptCount val="15"/>
                <c:pt idx="0">
                  <c:v>42005</c:v>
                </c:pt>
                <c:pt idx="1">
                  <c:v>42036</c:v>
                </c:pt>
                <c:pt idx="2">
                  <c:v>42064</c:v>
                </c:pt>
                <c:pt idx="3">
                  <c:v>42095</c:v>
                </c:pt>
                <c:pt idx="4">
                  <c:v>42125</c:v>
                </c:pt>
                <c:pt idx="5">
                  <c:v>42156</c:v>
                </c:pt>
                <c:pt idx="6">
                  <c:v>42186</c:v>
                </c:pt>
                <c:pt idx="7">
                  <c:v>42217</c:v>
                </c:pt>
                <c:pt idx="8">
                  <c:v>42248</c:v>
                </c:pt>
                <c:pt idx="9">
                  <c:v>42278</c:v>
                </c:pt>
                <c:pt idx="10">
                  <c:v>42309</c:v>
                </c:pt>
                <c:pt idx="11">
                  <c:v>42339</c:v>
                </c:pt>
                <c:pt idx="12">
                  <c:v>42370</c:v>
                </c:pt>
                <c:pt idx="13">
                  <c:v>42401</c:v>
                </c:pt>
                <c:pt idx="14">
                  <c:v>42430</c:v>
                </c:pt>
              </c:numCache>
            </c:numRef>
          </c:cat>
          <c:val>
            <c:numRef>
              <c:f>TCR!$G$35:$U$35</c:f>
              <c:numCache>
                <c:formatCode>0.00%</c:formatCode>
                <c:ptCount val="15"/>
                <c:pt idx="0">
                  <c:v>0.125</c:v>
                </c:pt>
                <c:pt idx="1">
                  <c:v>0.125</c:v>
                </c:pt>
                <c:pt idx="2">
                  <c:v>0.125</c:v>
                </c:pt>
                <c:pt idx="3">
                  <c:v>0.125</c:v>
                </c:pt>
                <c:pt idx="4">
                  <c:v>0.125</c:v>
                </c:pt>
                <c:pt idx="5">
                  <c:v>0.125</c:v>
                </c:pt>
                <c:pt idx="6">
                  <c:v>0.125</c:v>
                </c:pt>
                <c:pt idx="7">
                  <c:v>0.125</c:v>
                </c:pt>
                <c:pt idx="8">
                  <c:v>0.125</c:v>
                </c:pt>
                <c:pt idx="9">
                  <c:v>0.125</c:v>
                </c:pt>
                <c:pt idx="10">
                  <c:v>0.125</c:v>
                </c:pt>
                <c:pt idx="11">
                  <c:v>0.125</c:v>
                </c:pt>
                <c:pt idx="12">
                  <c:v>0.125</c:v>
                </c:pt>
                <c:pt idx="13">
                  <c:v>0.125</c:v>
                </c:pt>
                <c:pt idx="14">
                  <c:v>0.125</c:v>
                </c:pt>
              </c:numCache>
            </c:numRef>
          </c:val>
          <c:smooth val="0"/>
        </c:ser>
        <c:ser>
          <c:idx val="2"/>
          <c:order val="2"/>
          <c:tx>
            <c:strRef>
              <c:f>TCR!$F$36</c:f>
              <c:strCache>
                <c:ptCount val="1"/>
                <c:pt idx="0">
                  <c:v>Red Limit</c:v>
                </c:pt>
              </c:strCache>
            </c:strRef>
          </c:tx>
          <c:spPr>
            <a:ln w="28575" cap="rnd">
              <a:solidFill>
                <a:srgbClr val="FF0000"/>
              </a:solidFill>
              <a:prstDash val="dash"/>
              <a:round/>
            </a:ln>
            <a:effectLst/>
          </c:spPr>
          <c:marker>
            <c:symbol val="none"/>
          </c:marker>
          <c:dLbls>
            <c:delete val="1"/>
          </c:dLbls>
          <c:cat>
            <c:numRef>
              <c:f>TCR!$G$2:$U$2</c:f>
              <c:numCache>
                <c:formatCode>mmm\-yy</c:formatCode>
                <c:ptCount val="15"/>
                <c:pt idx="0">
                  <c:v>42005</c:v>
                </c:pt>
                <c:pt idx="1">
                  <c:v>42036</c:v>
                </c:pt>
                <c:pt idx="2">
                  <c:v>42064</c:v>
                </c:pt>
                <c:pt idx="3">
                  <c:v>42095</c:v>
                </c:pt>
                <c:pt idx="4">
                  <c:v>42125</c:v>
                </c:pt>
                <c:pt idx="5">
                  <c:v>42156</c:v>
                </c:pt>
                <c:pt idx="6">
                  <c:v>42186</c:v>
                </c:pt>
                <c:pt idx="7">
                  <c:v>42217</c:v>
                </c:pt>
                <c:pt idx="8">
                  <c:v>42248</c:v>
                </c:pt>
                <c:pt idx="9">
                  <c:v>42278</c:v>
                </c:pt>
                <c:pt idx="10">
                  <c:v>42309</c:v>
                </c:pt>
                <c:pt idx="11">
                  <c:v>42339</c:v>
                </c:pt>
                <c:pt idx="12">
                  <c:v>42370</c:v>
                </c:pt>
                <c:pt idx="13">
                  <c:v>42401</c:v>
                </c:pt>
                <c:pt idx="14">
                  <c:v>42430</c:v>
                </c:pt>
              </c:numCache>
            </c:numRef>
          </c:cat>
          <c:val>
            <c:numRef>
              <c:f>TCR!$G$36:$U$36</c:f>
              <c:numCache>
                <c:formatCode>0.00%</c:formatCode>
                <c:ptCount val="15"/>
                <c:pt idx="0">
                  <c:v>0.1125</c:v>
                </c:pt>
                <c:pt idx="1">
                  <c:v>0.1125</c:v>
                </c:pt>
                <c:pt idx="2">
                  <c:v>0.1125</c:v>
                </c:pt>
                <c:pt idx="3">
                  <c:v>0.1125</c:v>
                </c:pt>
                <c:pt idx="4">
                  <c:v>0.1125</c:v>
                </c:pt>
                <c:pt idx="5">
                  <c:v>0.1125</c:v>
                </c:pt>
                <c:pt idx="6">
                  <c:v>0.1125</c:v>
                </c:pt>
                <c:pt idx="7">
                  <c:v>0.1125</c:v>
                </c:pt>
                <c:pt idx="8">
                  <c:v>0.1125</c:v>
                </c:pt>
                <c:pt idx="9">
                  <c:v>0.1125</c:v>
                </c:pt>
                <c:pt idx="10">
                  <c:v>0.1125</c:v>
                </c:pt>
                <c:pt idx="11">
                  <c:v>0.1125</c:v>
                </c:pt>
                <c:pt idx="12">
                  <c:v>0.1125</c:v>
                </c:pt>
                <c:pt idx="13">
                  <c:v>0.1125</c:v>
                </c:pt>
                <c:pt idx="14">
                  <c:v>0.1125</c:v>
                </c:pt>
              </c:numCache>
            </c:numRef>
          </c:val>
          <c:smooth val="0"/>
        </c:ser>
        <c:dLbls>
          <c:dLblPos val="t"/>
          <c:showLegendKey val="0"/>
          <c:showVal val="1"/>
          <c:showCatName val="0"/>
          <c:showSerName val="0"/>
          <c:showPercent val="0"/>
          <c:showBubbleSize val="0"/>
        </c:dLbls>
        <c:marker val="1"/>
        <c:smooth val="0"/>
        <c:axId val="474102400"/>
        <c:axId val="474774144"/>
      </c:lineChart>
      <c:dateAx>
        <c:axId val="474102400"/>
        <c:scaling>
          <c:orientation val="minMax"/>
        </c:scaling>
        <c:delete val="0"/>
        <c:axPos val="b"/>
        <c:numFmt formatCode="mmm\-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4774144"/>
        <c:crosses val="autoZero"/>
        <c:auto val="1"/>
        <c:lblOffset val="100"/>
        <c:baseTimeUnit val="months"/>
      </c:dateAx>
      <c:valAx>
        <c:axId val="474774144"/>
        <c:scaling>
          <c:orientation val="minMax"/>
          <c:min val="8.500000000000002E-2"/>
        </c:scaling>
        <c:delete val="0"/>
        <c:axPos val="l"/>
        <c:majorGridlines>
          <c:spPr>
            <a:ln w="9525" cap="flat" cmpd="sng" algn="ctr">
              <a:solidFill>
                <a:schemeClr val="tx1">
                  <a:lumMod val="15000"/>
                  <a:lumOff val="85000"/>
                </a:schemeClr>
              </a:solidFill>
              <a:round/>
            </a:ln>
            <a:effectLst/>
          </c:spPr>
        </c:majorGridlines>
        <c:numFmt formatCode="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4102400"/>
        <c:crosses val="autoZero"/>
        <c:crossBetween val="between"/>
      </c:valAx>
      <c:spPr>
        <a:noFill/>
        <a:ln>
          <a:noFill/>
        </a:ln>
        <a:effectLst/>
      </c:spPr>
    </c:plotArea>
    <c:legend>
      <c:legendPos val="b"/>
      <c:layout>
        <c:manualLayout>
          <c:xMode val="edge"/>
          <c:yMode val="edge"/>
          <c:x val="1.2305941810465182E-2"/>
          <c:y val="0.90361600818448218"/>
          <c:w val="0.96968939220556127"/>
          <c:h val="9.6383991815517669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v>Total SHUSA Exposure (ex-leases)</c:v>
          </c:tx>
          <c:spPr>
            <a:solidFill>
              <a:schemeClr val="bg1">
                <a:lumMod val="75000"/>
              </a:schemeClr>
            </a:solidFill>
            <a:ln>
              <a:noFill/>
            </a:ln>
          </c:spPr>
          <c:invertIfNegative val="0"/>
          <c:dLbls>
            <c:numFmt formatCode="&quot;$&quot;#,##0" sourceLinked="0"/>
            <c:txPr>
              <a:bodyPr/>
              <a:lstStyle/>
              <a:p>
                <a:pPr>
                  <a:defRPr sz="1100" b="1">
                    <a:solidFill>
                      <a:schemeClr val="accent1">
                        <a:lumMod val="50000"/>
                      </a:schemeClr>
                    </a:solidFill>
                  </a:defRPr>
                </a:pPr>
                <a:endParaRPr lang="en-US"/>
              </a:p>
            </c:txPr>
            <c:dLblPos val="inEnd"/>
            <c:showLegendKey val="0"/>
            <c:showVal val="1"/>
            <c:showCatName val="0"/>
            <c:showSerName val="0"/>
            <c:showPercent val="0"/>
            <c:showBubbleSize val="0"/>
            <c:showLeaderLines val="0"/>
          </c:dLbls>
          <c:cat>
            <c:strLit>
              <c:ptCount val="11"/>
              <c:pt idx="0">
                <c:v>Pre- IHC Integration 42401</c:v>
              </c:pt>
              <c:pt idx="1">
                <c:v>Pre- IHC Integration 42430</c:v>
              </c:pt>
              <c:pt idx="2">
                <c:v>Pre- IHC Integration 42461</c:v>
              </c:pt>
              <c:pt idx="3">
                <c:v>Pre- IHC Integration 42491</c:v>
              </c:pt>
              <c:pt idx="4">
                <c:v>Pre- IHC Integration 42522</c:v>
              </c:pt>
              <c:pt idx="5">
                <c:v>Post - IHC Integration 42552</c:v>
              </c:pt>
              <c:pt idx="6">
                <c:v>Post - IHC Integration 42583</c:v>
              </c:pt>
              <c:pt idx="7">
                <c:v>Post - IHC Integration 42614</c:v>
              </c:pt>
              <c:pt idx="8">
                <c:v>Post - IHC Integration 42644</c:v>
              </c:pt>
              <c:pt idx="9">
                <c:v>Post - IHC Integration 42675</c:v>
              </c:pt>
              <c:pt idx="10">
                <c:v>Post - IHC Integration 42705</c:v>
              </c:pt>
            </c:strLit>
          </c:cat>
          <c:val>
            <c:numLit>
              <c:formatCode>General</c:formatCode>
              <c:ptCount val="11"/>
              <c:pt idx="0">
                <c:v>120.25989489200001</c:v>
              </c:pt>
              <c:pt idx="1">
                <c:v>117.50089489200001</c:v>
              </c:pt>
              <c:pt idx="2">
                <c:v>117.50089489200001</c:v>
              </c:pt>
              <c:pt idx="3">
                <c:v>113.821894892</c:v>
              </c:pt>
              <c:pt idx="4">
                <c:v>113.159894892</c:v>
              </c:pt>
              <c:pt idx="5">
                <c:v>121.159894892</c:v>
              </c:pt>
              <c:pt idx="6">
                <c:v>121.159894892</c:v>
              </c:pt>
              <c:pt idx="7">
                <c:v>121.159894892</c:v>
              </c:pt>
              <c:pt idx="8">
                <c:v>121.159894892</c:v>
              </c:pt>
              <c:pt idx="9">
                <c:v>121.159894892</c:v>
              </c:pt>
              <c:pt idx="10">
                <c:v>121.159894892</c:v>
              </c:pt>
            </c:numLit>
          </c:val>
        </c:ser>
        <c:dLbls>
          <c:showLegendKey val="0"/>
          <c:showVal val="0"/>
          <c:showCatName val="0"/>
          <c:showSerName val="0"/>
          <c:showPercent val="0"/>
          <c:showBubbleSize val="0"/>
        </c:dLbls>
        <c:gapWidth val="90"/>
        <c:overlap val="100"/>
        <c:axId val="586155136"/>
        <c:axId val="586156672"/>
      </c:barChart>
      <c:lineChart>
        <c:grouping val="standard"/>
        <c:varyColors val="0"/>
        <c:ser>
          <c:idx val="1"/>
          <c:order val="1"/>
          <c:tx>
            <c:v>SC Subprime Exposure (avg. TTM) / Total SHUSA Exposure (ex-leases)</c:v>
          </c:tx>
          <c:spPr>
            <a:ln w="38100">
              <a:solidFill>
                <a:schemeClr val="tx2"/>
              </a:solidFill>
            </a:ln>
          </c:spPr>
          <c:marker>
            <c:symbol val="none"/>
          </c:marker>
          <c:cat>
            <c:strLit>
              <c:ptCount val="11"/>
              <c:pt idx="0">
                <c:v>Pre- IHC Integration 42401</c:v>
              </c:pt>
              <c:pt idx="1">
                <c:v>Pre- IHC Integration 42430</c:v>
              </c:pt>
              <c:pt idx="2">
                <c:v>Pre- IHC Integration 42461</c:v>
              </c:pt>
              <c:pt idx="3">
                <c:v>Pre- IHC Integration 42491</c:v>
              </c:pt>
              <c:pt idx="4">
                <c:v>Pre- IHC Integration 42522</c:v>
              </c:pt>
              <c:pt idx="5">
                <c:v>Post - IHC Integration 42552</c:v>
              </c:pt>
              <c:pt idx="6">
                <c:v>Post - IHC Integration 42583</c:v>
              </c:pt>
              <c:pt idx="7">
                <c:v>Post - IHC Integration 42614</c:v>
              </c:pt>
              <c:pt idx="8">
                <c:v>Post - IHC Integration 42644</c:v>
              </c:pt>
              <c:pt idx="9">
                <c:v>Post - IHC Integration 42675</c:v>
              </c:pt>
              <c:pt idx="10">
                <c:v>Post - IHC Integration 42705</c:v>
              </c:pt>
            </c:strLit>
          </c:cat>
          <c:val>
            <c:numLit>
              <c:formatCode>General</c:formatCode>
              <c:ptCount val="11"/>
              <c:pt idx="0">
                <c:v>0.20239701276372346</c:v>
              </c:pt>
              <c:pt idx="1">
                <c:v>0.20819076945480386</c:v>
              </c:pt>
              <c:pt idx="2">
                <c:v>0.20884843861352309</c:v>
              </c:pt>
              <c:pt idx="3">
                <c:v>0.21595788229742469</c:v>
              </c:pt>
              <c:pt idx="4">
                <c:v>0.21729393002266609</c:v>
              </c:pt>
              <c:pt idx="5">
                <c:v>0.20303861489941</c:v>
              </c:pt>
              <c:pt idx="6">
                <c:v>0.20289595654006731</c:v>
              </c:pt>
              <c:pt idx="7">
                <c:v>0.20305365501866704</c:v>
              </c:pt>
              <c:pt idx="8">
                <c:v>0.20319810897498949</c:v>
              </c:pt>
              <c:pt idx="9">
                <c:v>0.20332070252357515</c:v>
              </c:pt>
              <c:pt idx="10">
                <c:v>0.20325758164911845</c:v>
              </c:pt>
            </c:numLit>
          </c:val>
          <c:smooth val="0"/>
        </c:ser>
        <c:ser>
          <c:idx val="2"/>
          <c:order val="2"/>
          <c:tx>
            <c:v>Total SHUSA Subprime Exposure / Total SHUSA Exposure (ex-leases)</c:v>
          </c:tx>
          <c:spPr>
            <a:ln w="38100">
              <a:solidFill>
                <a:srgbClr val="8497B0"/>
              </a:solidFill>
            </a:ln>
          </c:spPr>
          <c:marker>
            <c:symbol val="none"/>
          </c:marker>
          <c:cat>
            <c:strLit>
              <c:ptCount val="11"/>
              <c:pt idx="0">
                <c:v>Pre- IHC Integration 42401</c:v>
              </c:pt>
              <c:pt idx="1">
                <c:v>Pre- IHC Integration 42430</c:v>
              </c:pt>
              <c:pt idx="2">
                <c:v>Pre- IHC Integration 42461</c:v>
              </c:pt>
              <c:pt idx="3">
                <c:v>Pre- IHC Integration 42491</c:v>
              </c:pt>
              <c:pt idx="4">
                <c:v>Pre- IHC Integration 42522</c:v>
              </c:pt>
              <c:pt idx="5">
                <c:v>Post - IHC Integration 42552</c:v>
              </c:pt>
              <c:pt idx="6">
                <c:v>Post - IHC Integration 42583</c:v>
              </c:pt>
              <c:pt idx="7">
                <c:v>Post - IHC Integration 42614</c:v>
              </c:pt>
              <c:pt idx="8">
                <c:v>Post - IHC Integration 42644</c:v>
              </c:pt>
              <c:pt idx="9">
                <c:v>Post - IHC Integration 42675</c:v>
              </c:pt>
              <c:pt idx="10">
                <c:v>Post - IHC Integration 42705</c:v>
              </c:pt>
            </c:strLit>
          </c:cat>
          <c:val>
            <c:numLit>
              <c:formatCode>General</c:formatCode>
              <c:ptCount val="11"/>
              <c:pt idx="0">
                <c:v>0.20489160998808839</c:v>
              </c:pt>
              <c:pt idx="1">
                <c:v>0.21074394149894654</c:v>
              </c:pt>
              <c:pt idx="2">
                <c:v>0.21140161065766577</c:v>
              </c:pt>
              <c:pt idx="3">
                <c:v>0.21859357906108035</c:v>
              </c:pt>
              <c:pt idx="4">
                <c:v>0.21994504595279593</c:v>
              </c:pt>
              <c:pt idx="5">
                <c:v>0.20964145984833563</c:v>
              </c:pt>
              <c:pt idx="6">
                <c:v>0.20949880148899291</c:v>
              </c:pt>
              <c:pt idx="7">
                <c:v>0.20965649996759264</c:v>
              </c:pt>
              <c:pt idx="8">
                <c:v>0.20980095392391512</c:v>
              </c:pt>
              <c:pt idx="9">
                <c:v>0.20992354747250078</c:v>
              </c:pt>
              <c:pt idx="10">
                <c:v>0.20986042659804408</c:v>
              </c:pt>
            </c:numLit>
          </c:val>
          <c:smooth val="0"/>
        </c:ser>
        <c:ser>
          <c:idx val="3"/>
          <c:order val="3"/>
          <c:tx>
            <c:v>Amber Trigger</c:v>
          </c:tx>
          <c:spPr>
            <a:ln w="28575">
              <a:prstDash val="dash"/>
            </a:ln>
          </c:spPr>
          <c:marker>
            <c:symbol val="none"/>
          </c:marker>
          <c:dLbls>
            <c:dLbl>
              <c:idx val="0"/>
              <c:delete val="1"/>
            </c:dLbl>
            <c:dLbl>
              <c:idx val="1"/>
              <c:layout>
                <c:manualLayout>
                  <c:x val="1.8531087201584875E-2"/>
                  <c:y val="-2.9923471311166404E-3"/>
                </c:manualLayout>
              </c:layout>
              <c:spPr>
                <a:solidFill>
                  <a:schemeClr val="bg1"/>
                </a:solidFill>
                <a:ln>
                  <a:noFill/>
                </a:ln>
              </c:spPr>
              <c:txPr>
                <a:bodyPr/>
                <a:lstStyle/>
                <a:p>
                  <a:pPr>
                    <a:defRPr b="1"/>
                  </a:pPr>
                  <a:endParaRPr lang="en-US"/>
                </a:p>
              </c:txPr>
              <c:showLegendKey val="0"/>
              <c:showVal val="1"/>
              <c:showCatName val="0"/>
              <c:showSerName val="0"/>
              <c:showPercent val="0"/>
              <c:showBubbleSize val="0"/>
            </c:dLbl>
            <c:dLbl>
              <c:idx val="2"/>
              <c:delete val="1"/>
            </c:dLbl>
            <c:dLbl>
              <c:idx val="3"/>
              <c:delete val="1"/>
            </c:dLbl>
            <c:dLbl>
              <c:idx val="4"/>
              <c:delete val="1"/>
            </c:dLbl>
            <c:dLbl>
              <c:idx val="5"/>
              <c:delete val="1"/>
            </c:dLbl>
            <c:dLbl>
              <c:idx val="6"/>
              <c:delete val="1"/>
            </c:dLbl>
            <c:dLbl>
              <c:idx val="7"/>
              <c:delete val="1"/>
            </c:dLbl>
            <c:dLbl>
              <c:idx val="8"/>
              <c:delete val="1"/>
            </c:dLbl>
            <c:dLbl>
              <c:idx val="9"/>
              <c:delete val="1"/>
            </c:dLbl>
            <c:dLbl>
              <c:idx val="10"/>
              <c:delete val="1"/>
            </c:dLbl>
            <c:spPr>
              <a:ln>
                <a:noFill/>
              </a:ln>
            </c:spPr>
            <c:txPr>
              <a:bodyPr/>
              <a:lstStyle/>
              <a:p>
                <a:pPr>
                  <a:defRPr b="1"/>
                </a:pPr>
                <a:endParaRPr lang="en-US"/>
              </a:p>
            </c:txPr>
            <c:showLegendKey val="0"/>
            <c:showVal val="1"/>
            <c:showCatName val="0"/>
            <c:showSerName val="0"/>
            <c:showPercent val="0"/>
            <c:showBubbleSize val="0"/>
            <c:showLeaderLines val="0"/>
          </c:dLbls>
          <c:cat>
            <c:strLit>
              <c:ptCount val="11"/>
              <c:pt idx="0">
                <c:v>Pre- IHC Integration 42401</c:v>
              </c:pt>
              <c:pt idx="1">
                <c:v>Pre- IHC Integration 42430</c:v>
              </c:pt>
              <c:pt idx="2">
                <c:v>Pre- IHC Integration 42461</c:v>
              </c:pt>
              <c:pt idx="3">
                <c:v>Pre- IHC Integration 42491</c:v>
              </c:pt>
              <c:pt idx="4">
                <c:v>Pre- IHC Integration 42522</c:v>
              </c:pt>
              <c:pt idx="5">
                <c:v>Post - IHC Integration 42552</c:v>
              </c:pt>
              <c:pt idx="6">
                <c:v>Post - IHC Integration 42583</c:v>
              </c:pt>
              <c:pt idx="7">
                <c:v>Post - IHC Integration 42614</c:v>
              </c:pt>
              <c:pt idx="8">
                <c:v>Post - IHC Integration 42644</c:v>
              </c:pt>
              <c:pt idx="9">
                <c:v>Post - IHC Integration 42675</c:v>
              </c:pt>
              <c:pt idx="10">
                <c:v>Post - IHC Integration 42705</c:v>
              </c:pt>
            </c:strLit>
          </c:cat>
          <c:val>
            <c:numLit>
              <c:formatCode>General</c:formatCode>
              <c:ptCount val="11"/>
              <c:pt idx="0">
                <c:v>0.23</c:v>
              </c:pt>
              <c:pt idx="1">
                <c:v>0.23</c:v>
              </c:pt>
              <c:pt idx="2">
                <c:v>0.23</c:v>
              </c:pt>
              <c:pt idx="3">
                <c:v>0.23</c:v>
              </c:pt>
              <c:pt idx="4">
                <c:v>0.23</c:v>
              </c:pt>
              <c:pt idx="5">
                <c:v>0.23</c:v>
              </c:pt>
              <c:pt idx="6">
                <c:v>0.23</c:v>
              </c:pt>
              <c:pt idx="7">
                <c:v>0.23</c:v>
              </c:pt>
              <c:pt idx="8">
                <c:v>0.23</c:v>
              </c:pt>
              <c:pt idx="9">
                <c:v>0.23</c:v>
              </c:pt>
              <c:pt idx="10">
                <c:v>0.23</c:v>
              </c:pt>
            </c:numLit>
          </c:val>
          <c:smooth val="0"/>
        </c:ser>
        <c:ser>
          <c:idx val="4"/>
          <c:order val="4"/>
          <c:tx>
            <c:v>Red Limit</c:v>
          </c:tx>
          <c:spPr>
            <a:ln w="28575">
              <a:solidFill>
                <a:srgbClr val="FF0000"/>
              </a:solidFill>
              <a:prstDash val="dash"/>
            </a:ln>
          </c:spPr>
          <c:marker>
            <c:symbol val="none"/>
          </c:marker>
          <c:dLbls>
            <c:dLbl>
              <c:idx val="0"/>
              <c:delete val="1"/>
            </c:dLbl>
            <c:dLbl>
              <c:idx val="1"/>
              <c:layout>
                <c:manualLayout>
                  <c:x val="1.8531087201584875E-2"/>
                  <c:y val="0"/>
                </c:manualLayout>
              </c:layout>
              <c:spPr>
                <a:solidFill>
                  <a:schemeClr val="bg1"/>
                </a:solidFill>
              </c:spPr>
              <c:txPr>
                <a:bodyPr/>
                <a:lstStyle/>
                <a:p>
                  <a:pPr>
                    <a:defRPr b="1"/>
                  </a:pPr>
                  <a:endParaRPr lang="en-US"/>
                </a:p>
              </c:txPr>
              <c:showLegendKey val="0"/>
              <c:showVal val="1"/>
              <c:showCatName val="0"/>
              <c:showSerName val="0"/>
              <c:showPercent val="0"/>
              <c:showBubbleSize val="0"/>
            </c:dLbl>
            <c:dLbl>
              <c:idx val="2"/>
              <c:delete val="1"/>
            </c:dLbl>
            <c:dLbl>
              <c:idx val="3"/>
              <c:delete val="1"/>
            </c:dLbl>
            <c:dLbl>
              <c:idx val="4"/>
              <c:delete val="1"/>
            </c:dLbl>
            <c:dLbl>
              <c:idx val="5"/>
              <c:delete val="1"/>
            </c:dLbl>
            <c:dLbl>
              <c:idx val="6"/>
              <c:delete val="1"/>
            </c:dLbl>
            <c:dLbl>
              <c:idx val="7"/>
              <c:delete val="1"/>
            </c:dLbl>
            <c:dLbl>
              <c:idx val="8"/>
              <c:delete val="1"/>
            </c:dLbl>
            <c:dLbl>
              <c:idx val="9"/>
              <c:delete val="1"/>
            </c:dLbl>
            <c:dLbl>
              <c:idx val="10"/>
              <c:delete val="1"/>
            </c:dLbl>
            <c:txPr>
              <a:bodyPr/>
              <a:lstStyle/>
              <a:p>
                <a:pPr>
                  <a:defRPr b="1"/>
                </a:pPr>
                <a:endParaRPr lang="en-US"/>
              </a:p>
            </c:txPr>
            <c:showLegendKey val="0"/>
            <c:showVal val="1"/>
            <c:showCatName val="0"/>
            <c:showSerName val="0"/>
            <c:showPercent val="0"/>
            <c:showBubbleSize val="0"/>
            <c:showLeaderLines val="0"/>
          </c:dLbls>
          <c:cat>
            <c:strLit>
              <c:ptCount val="11"/>
              <c:pt idx="0">
                <c:v>Pre- IHC Integration 42401</c:v>
              </c:pt>
              <c:pt idx="1">
                <c:v>Pre- IHC Integration 42430</c:v>
              </c:pt>
              <c:pt idx="2">
                <c:v>Pre- IHC Integration 42461</c:v>
              </c:pt>
              <c:pt idx="3">
                <c:v>Pre- IHC Integration 42491</c:v>
              </c:pt>
              <c:pt idx="4">
                <c:v>Pre- IHC Integration 42522</c:v>
              </c:pt>
              <c:pt idx="5">
                <c:v>Post - IHC Integration 42552</c:v>
              </c:pt>
              <c:pt idx="6">
                <c:v>Post - IHC Integration 42583</c:v>
              </c:pt>
              <c:pt idx="7">
                <c:v>Post - IHC Integration 42614</c:v>
              </c:pt>
              <c:pt idx="8">
                <c:v>Post - IHC Integration 42644</c:v>
              </c:pt>
              <c:pt idx="9">
                <c:v>Post - IHC Integration 42675</c:v>
              </c:pt>
              <c:pt idx="10">
                <c:v>Post - IHC Integration 42705</c:v>
              </c:pt>
            </c:strLit>
          </c:cat>
          <c:val>
            <c:numLit>
              <c:formatCode>General</c:formatCode>
              <c:ptCount val="11"/>
              <c:pt idx="0">
                <c:v>0.25</c:v>
              </c:pt>
              <c:pt idx="1">
                <c:v>0.25</c:v>
              </c:pt>
              <c:pt idx="2">
                <c:v>0.25</c:v>
              </c:pt>
              <c:pt idx="3">
                <c:v>0.25</c:v>
              </c:pt>
              <c:pt idx="4">
                <c:v>0.25</c:v>
              </c:pt>
              <c:pt idx="5">
                <c:v>0.25</c:v>
              </c:pt>
              <c:pt idx="6">
                <c:v>0.25</c:v>
              </c:pt>
              <c:pt idx="7">
                <c:v>0.25</c:v>
              </c:pt>
              <c:pt idx="8">
                <c:v>0.25</c:v>
              </c:pt>
              <c:pt idx="9">
                <c:v>0.25</c:v>
              </c:pt>
              <c:pt idx="10">
                <c:v>0.25</c:v>
              </c:pt>
            </c:numLit>
          </c:val>
          <c:smooth val="0"/>
        </c:ser>
        <c:dLbls>
          <c:showLegendKey val="0"/>
          <c:showVal val="0"/>
          <c:showCatName val="0"/>
          <c:showSerName val="0"/>
          <c:showPercent val="0"/>
          <c:showBubbleSize val="0"/>
        </c:dLbls>
        <c:marker val="1"/>
        <c:smooth val="0"/>
        <c:axId val="586525696"/>
        <c:axId val="586523392"/>
      </c:lineChart>
      <c:catAx>
        <c:axId val="586155136"/>
        <c:scaling>
          <c:orientation val="minMax"/>
        </c:scaling>
        <c:delete val="0"/>
        <c:axPos val="b"/>
        <c:numFmt formatCode="mmm\ yy" sourceLinked="1"/>
        <c:majorTickMark val="none"/>
        <c:minorTickMark val="in"/>
        <c:tickLblPos val="nextTo"/>
        <c:crossAx val="586156672"/>
        <c:crosses val="autoZero"/>
        <c:auto val="1"/>
        <c:lblAlgn val="ctr"/>
        <c:lblOffset val="100"/>
        <c:noMultiLvlLbl val="0"/>
      </c:catAx>
      <c:valAx>
        <c:axId val="586156672"/>
        <c:scaling>
          <c:orientation val="minMax"/>
          <c:max val="200"/>
          <c:min val="100"/>
        </c:scaling>
        <c:delete val="0"/>
        <c:axPos val="l"/>
        <c:numFmt formatCode="General" sourceLinked="1"/>
        <c:majorTickMark val="none"/>
        <c:minorTickMark val="none"/>
        <c:tickLblPos val="none"/>
        <c:spPr>
          <a:ln>
            <a:noFill/>
          </a:ln>
        </c:spPr>
        <c:crossAx val="586155136"/>
        <c:crosses val="autoZero"/>
        <c:crossBetween val="between"/>
      </c:valAx>
      <c:valAx>
        <c:axId val="586523392"/>
        <c:scaling>
          <c:orientation val="minMax"/>
          <c:max val="0.25"/>
          <c:min val="0.18000000000000002"/>
        </c:scaling>
        <c:delete val="0"/>
        <c:axPos val="r"/>
        <c:numFmt formatCode="General" sourceLinked="1"/>
        <c:majorTickMark val="out"/>
        <c:minorTickMark val="none"/>
        <c:tickLblPos val="nextTo"/>
        <c:crossAx val="586525696"/>
        <c:crosses val="max"/>
        <c:crossBetween val="between"/>
      </c:valAx>
      <c:catAx>
        <c:axId val="586525696"/>
        <c:scaling>
          <c:orientation val="minMax"/>
        </c:scaling>
        <c:delete val="1"/>
        <c:axPos val="t"/>
        <c:majorTickMark val="out"/>
        <c:minorTickMark val="none"/>
        <c:tickLblPos val="nextTo"/>
        <c:crossAx val="586523392"/>
        <c:crosses val="max"/>
        <c:auto val="1"/>
        <c:lblAlgn val="ctr"/>
        <c:lblOffset val="100"/>
        <c:noMultiLvlLbl val="0"/>
      </c:catAx>
      <c:spPr>
        <a:noFill/>
        <a:ln>
          <a:noFill/>
        </a:ln>
      </c:spPr>
    </c:plotArea>
    <c:legend>
      <c:legendPos val="b"/>
      <c:overlay val="0"/>
    </c:legend>
    <c:plotVisOnly val="1"/>
    <c:dispBlanksAs val="gap"/>
    <c:showDLblsOverMax val="0"/>
  </c:chart>
  <c:spPr>
    <a:noFill/>
    <a:ln>
      <a:noFill/>
    </a:ln>
  </c:sp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v>Total SHUSA Exposure (ex-leases)</c:v>
          </c:tx>
          <c:spPr>
            <a:solidFill>
              <a:schemeClr val="bg1">
                <a:lumMod val="75000"/>
              </a:schemeClr>
            </a:solidFill>
            <a:ln>
              <a:noFill/>
            </a:ln>
          </c:spPr>
          <c:invertIfNegative val="0"/>
          <c:dLbls>
            <c:numFmt formatCode="&quot;$&quot;#,##0" sourceLinked="0"/>
            <c:txPr>
              <a:bodyPr/>
              <a:lstStyle/>
              <a:p>
                <a:pPr>
                  <a:defRPr sz="1100" b="1">
                    <a:solidFill>
                      <a:schemeClr val="accent1">
                        <a:lumMod val="50000"/>
                      </a:schemeClr>
                    </a:solidFill>
                  </a:defRPr>
                </a:pPr>
                <a:endParaRPr lang="en-US"/>
              </a:p>
            </c:txPr>
            <c:dLblPos val="inEnd"/>
            <c:showLegendKey val="0"/>
            <c:showVal val="1"/>
            <c:showCatName val="0"/>
            <c:showSerName val="0"/>
            <c:showPercent val="0"/>
            <c:showBubbleSize val="0"/>
            <c:showLeaderLines val="0"/>
          </c:dLbls>
          <c:cat>
            <c:strLit>
              <c:ptCount val="11"/>
              <c:pt idx="0">
                <c:v>Pre- IHC Integration 42401</c:v>
              </c:pt>
              <c:pt idx="1">
                <c:v>Pre- IHC Integration 42430</c:v>
              </c:pt>
              <c:pt idx="2">
                <c:v>Pre- IHC Integration 42461</c:v>
              </c:pt>
              <c:pt idx="3">
                <c:v>Pre- IHC Integration 42491</c:v>
              </c:pt>
              <c:pt idx="4">
                <c:v>Pre- IHC Integration 42522</c:v>
              </c:pt>
              <c:pt idx="5">
                <c:v>Post - IHC Integration 42552</c:v>
              </c:pt>
              <c:pt idx="6">
                <c:v>Post - IHC Integration 42583</c:v>
              </c:pt>
              <c:pt idx="7">
                <c:v>Post - IHC Integration 42614</c:v>
              </c:pt>
              <c:pt idx="8">
                <c:v>Post - IHC Integration 42644</c:v>
              </c:pt>
              <c:pt idx="9">
                <c:v>Post - IHC Integration 42675</c:v>
              </c:pt>
              <c:pt idx="10">
                <c:v>Post - IHC Integration 42705</c:v>
              </c:pt>
            </c:strLit>
          </c:cat>
          <c:val>
            <c:numLit>
              <c:formatCode>General</c:formatCode>
              <c:ptCount val="11"/>
              <c:pt idx="0">
                <c:v>120.25989489200001</c:v>
              </c:pt>
              <c:pt idx="1">
                <c:v>117.50089489200001</c:v>
              </c:pt>
              <c:pt idx="2">
                <c:v>117.50089489200001</c:v>
              </c:pt>
              <c:pt idx="3">
                <c:v>113.821894892</c:v>
              </c:pt>
              <c:pt idx="4">
                <c:v>113.159894892</c:v>
              </c:pt>
              <c:pt idx="5">
                <c:v>121.159894892</c:v>
              </c:pt>
              <c:pt idx="6">
                <c:v>121.159894892</c:v>
              </c:pt>
              <c:pt idx="7">
                <c:v>121.159894892</c:v>
              </c:pt>
              <c:pt idx="8">
                <c:v>121.159894892</c:v>
              </c:pt>
              <c:pt idx="9">
                <c:v>121.159894892</c:v>
              </c:pt>
              <c:pt idx="10">
                <c:v>121.159894892</c:v>
              </c:pt>
            </c:numLit>
          </c:val>
        </c:ser>
        <c:dLbls>
          <c:showLegendKey val="0"/>
          <c:showVal val="0"/>
          <c:showCatName val="0"/>
          <c:showSerName val="0"/>
          <c:showPercent val="0"/>
          <c:showBubbleSize val="0"/>
        </c:dLbls>
        <c:gapWidth val="90"/>
        <c:overlap val="100"/>
        <c:axId val="651404800"/>
        <c:axId val="651406336"/>
      </c:barChart>
      <c:lineChart>
        <c:grouping val="standard"/>
        <c:varyColors val="0"/>
        <c:ser>
          <c:idx val="1"/>
          <c:order val="1"/>
          <c:tx>
            <c:v>SC Subprime Exposure (avg. TTM) / Total SHUSA Exposure (ex-leases)</c:v>
          </c:tx>
          <c:spPr>
            <a:ln w="38100">
              <a:solidFill>
                <a:schemeClr val="tx2"/>
              </a:solidFill>
            </a:ln>
          </c:spPr>
          <c:marker>
            <c:symbol val="none"/>
          </c:marker>
          <c:cat>
            <c:strLit>
              <c:ptCount val="11"/>
              <c:pt idx="0">
                <c:v>Pre- IHC Integration 42401</c:v>
              </c:pt>
              <c:pt idx="1">
                <c:v>Pre- IHC Integration 42430</c:v>
              </c:pt>
              <c:pt idx="2">
                <c:v>Pre- IHC Integration 42461</c:v>
              </c:pt>
              <c:pt idx="3">
                <c:v>Pre- IHC Integration 42491</c:v>
              </c:pt>
              <c:pt idx="4">
                <c:v>Pre- IHC Integration 42522</c:v>
              </c:pt>
              <c:pt idx="5">
                <c:v>Post - IHC Integration 42552</c:v>
              </c:pt>
              <c:pt idx="6">
                <c:v>Post - IHC Integration 42583</c:v>
              </c:pt>
              <c:pt idx="7">
                <c:v>Post - IHC Integration 42614</c:v>
              </c:pt>
              <c:pt idx="8">
                <c:v>Post - IHC Integration 42644</c:v>
              </c:pt>
              <c:pt idx="9">
                <c:v>Post - IHC Integration 42675</c:v>
              </c:pt>
              <c:pt idx="10">
                <c:v>Post - IHC Integration 42705</c:v>
              </c:pt>
            </c:strLit>
          </c:cat>
          <c:val>
            <c:numLit>
              <c:formatCode>General</c:formatCode>
              <c:ptCount val="11"/>
              <c:pt idx="0">
                <c:v>0.20239701276372346</c:v>
              </c:pt>
              <c:pt idx="1">
                <c:v>0.20819076945480386</c:v>
              </c:pt>
              <c:pt idx="2">
                <c:v>0.20884843861352309</c:v>
              </c:pt>
              <c:pt idx="3">
                <c:v>0.21595788229742469</c:v>
              </c:pt>
              <c:pt idx="4">
                <c:v>0.21729393002266609</c:v>
              </c:pt>
              <c:pt idx="5">
                <c:v>0.20303861489941</c:v>
              </c:pt>
              <c:pt idx="6">
                <c:v>0.20289595654006731</c:v>
              </c:pt>
              <c:pt idx="7">
                <c:v>0.20305365501866704</c:v>
              </c:pt>
              <c:pt idx="8">
                <c:v>0.20319810897498949</c:v>
              </c:pt>
              <c:pt idx="9">
                <c:v>0.20332070252357515</c:v>
              </c:pt>
              <c:pt idx="10">
                <c:v>0.20325758164911845</c:v>
              </c:pt>
            </c:numLit>
          </c:val>
          <c:smooth val="0"/>
        </c:ser>
        <c:ser>
          <c:idx val="2"/>
          <c:order val="2"/>
          <c:tx>
            <c:v>Total SHUSA Subprime Exposure / Total SHUSA Exposure (ex-leases)</c:v>
          </c:tx>
          <c:spPr>
            <a:ln w="38100">
              <a:solidFill>
                <a:srgbClr val="8497B0"/>
              </a:solidFill>
            </a:ln>
          </c:spPr>
          <c:marker>
            <c:symbol val="none"/>
          </c:marker>
          <c:cat>
            <c:strLit>
              <c:ptCount val="11"/>
              <c:pt idx="0">
                <c:v>Pre- IHC Integration 42401</c:v>
              </c:pt>
              <c:pt idx="1">
                <c:v>Pre- IHC Integration 42430</c:v>
              </c:pt>
              <c:pt idx="2">
                <c:v>Pre- IHC Integration 42461</c:v>
              </c:pt>
              <c:pt idx="3">
                <c:v>Pre- IHC Integration 42491</c:v>
              </c:pt>
              <c:pt idx="4">
                <c:v>Pre- IHC Integration 42522</c:v>
              </c:pt>
              <c:pt idx="5">
                <c:v>Post - IHC Integration 42552</c:v>
              </c:pt>
              <c:pt idx="6">
                <c:v>Post - IHC Integration 42583</c:v>
              </c:pt>
              <c:pt idx="7">
                <c:v>Post - IHC Integration 42614</c:v>
              </c:pt>
              <c:pt idx="8">
                <c:v>Post - IHC Integration 42644</c:v>
              </c:pt>
              <c:pt idx="9">
                <c:v>Post - IHC Integration 42675</c:v>
              </c:pt>
              <c:pt idx="10">
                <c:v>Post - IHC Integration 42705</c:v>
              </c:pt>
            </c:strLit>
          </c:cat>
          <c:val>
            <c:numLit>
              <c:formatCode>General</c:formatCode>
              <c:ptCount val="11"/>
              <c:pt idx="0">
                <c:v>0.20489160998808839</c:v>
              </c:pt>
              <c:pt idx="1">
                <c:v>0.21074394149894654</c:v>
              </c:pt>
              <c:pt idx="2">
                <c:v>0.21140161065766577</c:v>
              </c:pt>
              <c:pt idx="3">
                <c:v>0.21859357906108035</c:v>
              </c:pt>
              <c:pt idx="4">
                <c:v>0.21994504595279593</c:v>
              </c:pt>
              <c:pt idx="5">
                <c:v>0.20964145984833563</c:v>
              </c:pt>
              <c:pt idx="6">
                <c:v>0.20949880148899291</c:v>
              </c:pt>
              <c:pt idx="7">
                <c:v>0.20965649996759264</c:v>
              </c:pt>
              <c:pt idx="8">
                <c:v>0.20980095392391512</c:v>
              </c:pt>
              <c:pt idx="9">
                <c:v>0.20992354747250078</c:v>
              </c:pt>
              <c:pt idx="10">
                <c:v>0.20986042659804408</c:v>
              </c:pt>
            </c:numLit>
          </c:val>
          <c:smooth val="0"/>
        </c:ser>
        <c:ser>
          <c:idx val="3"/>
          <c:order val="3"/>
          <c:tx>
            <c:v>Amber Trigger</c:v>
          </c:tx>
          <c:spPr>
            <a:ln w="28575">
              <a:prstDash val="dash"/>
            </a:ln>
          </c:spPr>
          <c:marker>
            <c:symbol val="none"/>
          </c:marker>
          <c:dLbls>
            <c:dLbl>
              <c:idx val="0"/>
              <c:delete val="1"/>
            </c:dLbl>
            <c:dLbl>
              <c:idx val="1"/>
              <c:layout>
                <c:manualLayout>
                  <c:x val="1.8531087201584875E-2"/>
                  <c:y val="-2.9923471311166404E-3"/>
                </c:manualLayout>
              </c:layout>
              <c:spPr>
                <a:solidFill>
                  <a:schemeClr val="bg1"/>
                </a:solidFill>
                <a:ln>
                  <a:noFill/>
                </a:ln>
              </c:spPr>
              <c:txPr>
                <a:bodyPr/>
                <a:lstStyle/>
                <a:p>
                  <a:pPr>
                    <a:defRPr b="1"/>
                  </a:pPr>
                  <a:endParaRPr lang="en-US"/>
                </a:p>
              </c:txPr>
              <c:showLegendKey val="0"/>
              <c:showVal val="1"/>
              <c:showCatName val="0"/>
              <c:showSerName val="0"/>
              <c:showPercent val="0"/>
              <c:showBubbleSize val="0"/>
            </c:dLbl>
            <c:dLbl>
              <c:idx val="2"/>
              <c:delete val="1"/>
            </c:dLbl>
            <c:dLbl>
              <c:idx val="3"/>
              <c:delete val="1"/>
            </c:dLbl>
            <c:dLbl>
              <c:idx val="4"/>
              <c:delete val="1"/>
            </c:dLbl>
            <c:dLbl>
              <c:idx val="5"/>
              <c:delete val="1"/>
            </c:dLbl>
            <c:dLbl>
              <c:idx val="6"/>
              <c:delete val="1"/>
            </c:dLbl>
            <c:dLbl>
              <c:idx val="7"/>
              <c:delete val="1"/>
            </c:dLbl>
            <c:dLbl>
              <c:idx val="8"/>
              <c:delete val="1"/>
            </c:dLbl>
            <c:dLbl>
              <c:idx val="9"/>
              <c:delete val="1"/>
            </c:dLbl>
            <c:dLbl>
              <c:idx val="10"/>
              <c:delete val="1"/>
            </c:dLbl>
            <c:spPr>
              <a:ln>
                <a:noFill/>
              </a:ln>
            </c:spPr>
            <c:txPr>
              <a:bodyPr/>
              <a:lstStyle/>
              <a:p>
                <a:pPr>
                  <a:defRPr b="1"/>
                </a:pPr>
                <a:endParaRPr lang="en-US"/>
              </a:p>
            </c:txPr>
            <c:showLegendKey val="0"/>
            <c:showVal val="1"/>
            <c:showCatName val="0"/>
            <c:showSerName val="0"/>
            <c:showPercent val="0"/>
            <c:showBubbleSize val="0"/>
            <c:showLeaderLines val="0"/>
          </c:dLbls>
          <c:cat>
            <c:strLit>
              <c:ptCount val="11"/>
              <c:pt idx="0">
                <c:v>Pre- IHC Integration 42401</c:v>
              </c:pt>
              <c:pt idx="1">
                <c:v>Pre- IHC Integration 42430</c:v>
              </c:pt>
              <c:pt idx="2">
                <c:v>Pre- IHC Integration 42461</c:v>
              </c:pt>
              <c:pt idx="3">
                <c:v>Pre- IHC Integration 42491</c:v>
              </c:pt>
              <c:pt idx="4">
                <c:v>Pre- IHC Integration 42522</c:v>
              </c:pt>
              <c:pt idx="5">
                <c:v>Post - IHC Integration 42552</c:v>
              </c:pt>
              <c:pt idx="6">
                <c:v>Post - IHC Integration 42583</c:v>
              </c:pt>
              <c:pt idx="7">
                <c:v>Post - IHC Integration 42614</c:v>
              </c:pt>
              <c:pt idx="8">
                <c:v>Post - IHC Integration 42644</c:v>
              </c:pt>
              <c:pt idx="9">
                <c:v>Post - IHC Integration 42675</c:v>
              </c:pt>
              <c:pt idx="10">
                <c:v>Post - IHC Integration 42705</c:v>
              </c:pt>
            </c:strLit>
          </c:cat>
          <c:val>
            <c:numLit>
              <c:formatCode>General</c:formatCode>
              <c:ptCount val="11"/>
              <c:pt idx="0">
                <c:v>0.23</c:v>
              </c:pt>
              <c:pt idx="1">
                <c:v>0.23</c:v>
              </c:pt>
              <c:pt idx="2">
                <c:v>0.23</c:v>
              </c:pt>
              <c:pt idx="3">
                <c:v>0.23</c:v>
              </c:pt>
              <c:pt idx="4">
                <c:v>0.23</c:v>
              </c:pt>
              <c:pt idx="5">
                <c:v>0.23</c:v>
              </c:pt>
              <c:pt idx="6">
                <c:v>0.23</c:v>
              </c:pt>
              <c:pt idx="7">
                <c:v>0.23</c:v>
              </c:pt>
              <c:pt idx="8">
                <c:v>0.23</c:v>
              </c:pt>
              <c:pt idx="9">
                <c:v>0.23</c:v>
              </c:pt>
              <c:pt idx="10">
                <c:v>0.23</c:v>
              </c:pt>
            </c:numLit>
          </c:val>
          <c:smooth val="0"/>
        </c:ser>
        <c:ser>
          <c:idx val="4"/>
          <c:order val="4"/>
          <c:tx>
            <c:v>Red Limit</c:v>
          </c:tx>
          <c:spPr>
            <a:ln w="28575">
              <a:solidFill>
                <a:srgbClr val="FF0000"/>
              </a:solidFill>
              <a:prstDash val="dash"/>
            </a:ln>
          </c:spPr>
          <c:marker>
            <c:symbol val="none"/>
          </c:marker>
          <c:dLbls>
            <c:dLbl>
              <c:idx val="0"/>
              <c:delete val="1"/>
            </c:dLbl>
            <c:dLbl>
              <c:idx val="1"/>
              <c:layout>
                <c:manualLayout>
                  <c:x val="1.8531087201584875E-2"/>
                  <c:y val="0"/>
                </c:manualLayout>
              </c:layout>
              <c:spPr>
                <a:solidFill>
                  <a:schemeClr val="bg1"/>
                </a:solidFill>
              </c:spPr>
              <c:txPr>
                <a:bodyPr/>
                <a:lstStyle/>
                <a:p>
                  <a:pPr>
                    <a:defRPr b="1"/>
                  </a:pPr>
                  <a:endParaRPr lang="en-US"/>
                </a:p>
              </c:txPr>
              <c:showLegendKey val="0"/>
              <c:showVal val="1"/>
              <c:showCatName val="0"/>
              <c:showSerName val="0"/>
              <c:showPercent val="0"/>
              <c:showBubbleSize val="0"/>
            </c:dLbl>
            <c:dLbl>
              <c:idx val="2"/>
              <c:delete val="1"/>
            </c:dLbl>
            <c:dLbl>
              <c:idx val="3"/>
              <c:delete val="1"/>
            </c:dLbl>
            <c:dLbl>
              <c:idx val="4"/>
              <c:delete val="1"/>
            </c:dLbl>
            <c:dLbl>
              <c:idx val="5"/>
              <c:delete val="1"/>
            </c:dLbl>
            <c:dLbl>
              <c:idx val="6"/>
              <c:delete val="1"/>
            </c:dLbl>
            <c:dLbl>
              <c:idx val="7"/>
              <c:delete val="1"/>
            </c:dLbl>
            <c:dLbl>
              <c:idx val="8"/>
              <c:delete val="1"/>
            </c:dLbl>
            <c:dLbl>
              <c:idx val="9"/>
              <c:delete val="1"/>
            </c:dLbl>
            <c:dLbl>
              <c:idx val="10"/>
              <c:delete val="1"/>
            </c:dLbl>
            <c:txPr>
              <a:bodyPr/>
              <a:lstStyle/>
              <a:p>
                <a:pPr>
                  <a:defRPr b="1"/>
                </a:pPr>
                <a:endParaRPr lang="en-US"/>
              </a:p>
            </c:txPr>
            <c:showLegendKey val="0"/>
            <c:showVal val="1"/>
            <c:showCatName val="0"/>
            <c:showSerName val="0"/>
            <c:showPercent val="0"/>
            <c:showBubbleSize val="0"/>
            <c:showLeaderLines val="0"/>
          </c:dLbls>
          <c:cat>
            <c:strLit>
              <c:ptCount val="11"/>
              <c:pt idx="0">
                <c:v>Pre- IHC Integration 42401</c:v>
              </c:pt>
              <c:pt idx="1">
                <c:v>Pre- IHC Integration 42430</c:v>
              </c:pt>
              <c:pt idx="2">
                <c:v>Pre- IHC Integration 42461</c:v>
              </c:pt>
              <c:pt idx="3">
                <c:v>Pre- IHC Integration 42491</c:v>
              </c:pt>
              <c:pt idx="4">
                <c:v>Pre- IHC Integration 42522</c:v>
              </c:pt>
              <c:pt idx="5">
                <c:v>Post - IHC Integration 42552</c:v>
              </c:pt>
              <c:pt idx="6">
                <c:v>Post - IHC Integration 42583</c:v>
              </c:pt>
              <c:pt idx="7">
                <c:v>Post - IHC Integration 42614</c:v>
              </c:pt>
              <c:pt idx="8">
                <c:v>Post - IHC Integration 42644</c:v>
              </c:pt>
              <c:pt idx="9">
                <c:v>Post - IHC Integration 42675</c:v>
              </c:pt>
              <c:pt idx="10">
                <c:v>Post - IHC Integration 42705</c:v>
              </c:pt>
            </c:strLit>
          </c:cat>
          <c:val>
            <c:numLit>
              <c:formatCode>General</c:formatCode>
              <c:ptCount val="11"/>
              <c:pt idx="0">
                <c:v>0.25</c:v>
              </c:pt>
              <c:pt idx="1">
                <c:v>0.25</c:v>
              </c:pt>
              <c:pt idx="2">
                <c:v>0.25</c:v>
              </c:pt>
              <c:pt idx="3">
                <c:v>0.25</c:v>
              </c:pt>
              <c:pt idx="4">
                <c:v>0.25</c:v>
              </c:pt>
              <c:pt idx="5">
                <c:v>0.25</c:v>
              </c:pt>
              <c:pt idx="6">
                <c:v>0.25</c:v>
              </c:pt>
              <c:pt idx="7">
                <c:v>0.25</c:v>
              </c:pt>
              <c:pt idx="8">
                <c:v>0.25</c:v>
              </c:pt>
              <c:pt idx="9">
                <c:v>0.25</c:v>
              </c:pt>
              <c:pt idx="10">
                <c:v>0.25</c:v>
              </c:pt>
            </c:numLit>
          </c:val>
          <c:smooth val="0"/>
        </c:ser>
        <c:dLbls>
          <c:showLegendKey val="0"/>
          <c:showVal val="0"/>
          <c:showCatName val="0"/>
          <c:showSerName val="0"/>
          <c:showPercent val="0"/>
          <c:showBubbleSize val="0"/>
        </c:dLbls>
        <c:marker val="1"/>
        <c:smooth val="0"/>
        <c:axId val="721317888"/>
        <c:axId val="707537152"/>
      </c:lineChart>
      <c:catAx>
        <c:axId val="651404800"/>
        <c:scaling>
          <c:orientation val="minMax"/>
        </c:scaling>
        <c:delete val="0"/>
        <c:axPos val="b"/>
        <c:numFmt formatCode="mmm\ yy" sourceLinked="1"/>
        <c:majorTickMark val="none"/>
        <c:minorTickMark val="in"/>
        <c:tickLblPos val="nextTo"/>
        <c:crossAx val="651406336"/>
        <c:crosses val="autoZero"/>
        <c:auto val="1"/>
        <c:lblAlgn val="ctr"/>
        <c:lblOffset val="100"/>
        <c:noMultiLvlLbl val="0"/>
      </c:catAx>
      <c:valAx>
        <c:axId val="651406336"/>
        <c:scaling>
          <c:orientation val="minMax"/>
          <c:max val="200"/>
          <c:min val="100"/>
        </c:scaling>
        <c:delete val="0"/>
        <c:axPos val="l"/>
        <c:numFmt formatCode="General" sourceLinked="1"/>
        <c:majorTickMark val="none"/>
        <c:minorTickMark val="none"/>
        <c:tickLblPos val="none"/>
        <c:spPr>
          <a:ln>
            <a:noFill/>
          </a:ln>
        </c:spPr>
        <c:crossAx val="651404800"/>
        <c:crosses val="autoZero"/>
        <c:crossBetween val="between"/>
      </c:valAx>
      <c:valAx>
        <c:axId val="707537152"/>
        <c:scaling>
          <c:orientation val="minMax"/>
          <c:max val="0.25"/>
          <c:min val="0.18000000000000002"/>
        </c:scaling>
        <c:delete val="0"/>
        <c:axPos val="r"/>
        <c:numFmt formatCode="General" sourceLinked="1"/>
        <c:majorTickMark val="out"/>
        <c:minorTickMark val="none"/>
        <c:tickLblPos val="nextTo"/>
        <c:crossAx val="721317888"/>
        <c:crosses val="max"/>
        <c:crossBetween val="between"/>
      </c:valAx>
      <c:catAx>
        <c:axId val="721317888"/>
        <c:scaling>
          <c:orientation val="minMax"/>
        </c:scaling>
        <c:delete val="1"/>
        <c:axPos val="t"/>
        <c:majorTickMark val="out"/>
        <c:minorTickMark val="none"/>
        <c:tickLblPos val="nextTo"/>
        <c:crossAx val="707537152"/>
        <c:crosses val="max"/>
        <c:auto val="1"/>
        <c:lblAlgn val="ctr"/>
        <c:lblOffset val="100"/>
        <c:noMultiLvlLbl val="0"/>
      </c:catAx>
      <c:spPr>
        <a:noFill/>
        <a:ln>
          <a:noFill/>
        </a:ln>
      </c:spPr>
    </c:plotArea>
    <c:legend>
      <c:legendPos val="b"/>
      <c:overlay val="0"/>
    </c:legend>
    <c:plotVisOnly val="1"/>
    <c:dispBlanksAs val="gap"/>
    <c:showDLblsOverMax val="0"/>
  </c:chart>
  <c:spPr>
    <a:noFill/>
    <a:ln>
      <a:noFill/>
    </a:ln>
  </c:sp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a:t>Gross</a:t>
            </a:r>
            <a:r>
              <a:rPr lang="en-US" sz="1200" baseline="0"/>
              <a:t> Operational Risk Losses / Gross Margin</a:t>
            </a:r>
            <a:endParaRPr lang="en-US" sz="1200"/>
          </a:p>
        </c:rich>
      </c:tx>
      <c:overlay val="0"/>
      <c:spPr>
        <a:noFill/>
        <a:ln>
          <a:noFill/>
        </a:ln>
        <a:effectLst/>
      </c:spPr>
    </c:title>
    <c:autoTitleDeleted val="0"/>
    <c:plotArea>
      <c:layout>
        <c:manualLayout>
          <c:layoutTarget val="inner"/>
          <c:xMode val="edge"/>
          <c:yMode val="edge"/>
          <c:x val="0.1235052400364848"/>
          <c:y val="0.20913095153000177"/>
          <c:w val="0.84103376705571375"/>
          <c:h val="0.39428241111746981"/>
        </c:manualLayout>
      </c:layout>
      <c:lineChart>
        <c:grouping val="standard"/>
        <c:varyColors val="0"/>
        <c:ser>
          <c:idx val="0"/>
          <c:order val="0"/>
          <c:tx>
            <c:strRef>
              <c:f>'Ops Loss to Margin'!$B$8:$C$8</c:f>
              <c:strCache>
                <c:ptCount val="1"/>
                <c:pt idx="0">
                  <c:v>Gross Operational Risk Losses / Gross Margin (Quarterly)</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'Ops Loss to Margin'!$G$2:$Z$2</c:f>
              <c:strCache>
                <c:ptCount val="18"/>
                <c:pt idx="0">
                  <c:v>Jan-15</c:v>
                </c:pt>
                <c:pt idx="1">
                  <c:v>Feb-15</c:v>
                </c:pt>
                <c:pt idx="2">
                  <c:v>Mar-15</c:v>
                </c:pt>
                <c:pt idx="3">
                  <c:v>Q1 - 2015</c:v>
                </c:pt>
                <c:pt idx="4">
                  <c:v>Apr-15</c:v>
                </c:pt>
                <c:pt idx="5">
                  <c:v>May-15</c:v>
                </c:pt>
                <c:pt idx="6">
                  <c:v>Jun-15</c:v>
                </c:pt>
                <c:pt idx="7">
                  <c:v>Q2 - 2015</c:v>
                </c:pt>
                <c:pt idx="8">
                  <c:v>Jul-15</c:v>
                </c:pt>
                <c:pt idx="9">
                  <c:v>Aug-15</c:v>
                </c:pt>
                <c:pt idx="10">
                  <c:v>Sep-15</c:v>
                </c:pt>
                <c:pt idx="11">
                  <c:v>Q3 - 2015</c:v>
                </c:pt>
                <c:pt idx="12">
                  <c:v>Oct-15</c:v>
                </c:pt>
                <c:pt idx="13">
                  <c:v>Nov-15</c:v>
                </c:pt>
                <c:pt idx="14">
                  <c:v>Dec-15</c:v>
                </c:pt>
                <c:pt idx="15">
                  <c:v>Q4 - 2015</c:v>
                </c:pt>
                <c:pt idx="16">
                  <c:v>Jan-16</c:v>
                </c:pt>
                <c:pt idx="17">
                  <c:v>Feb-16</c:v>
                </c:pt>
              </c:strCache>
            </c:strRef>
          </c:cat>
          <c:val>
            <c:numRef>
              <c:f>'Ops Loss to Margin'!$G$8:$Z$8</c:f>
              <c:numCache>
                <c:formatCode>0.00%</c:formatCode>
                <c:ptCount val="18"/>
                <c:pt idx="0">
                  <c:v>4.6299005639225017E-3</c:v>
                </c:pt>
                <c:pt idx="1">
                  <c:v>8.2103088764706456E-2</c:v>
                </c:pt>
                <c:pt idx="2">
                  <c:v>2.1333960682327579E-2</c:v>
                </c:pt>
                <c:pt idx="3">
                  <c:v>3.5442029775724943E-2</c:v>
                </c:pt>
                <c:pt idx="4">
                  <c:v>1.0328003469420687E-4</c:v>
                </c:pt>
                <c:pt idx="5">
                  <c:v>1.5920217608266817E-3</c:v>
                </c:pt>
                <c:pt idx="6">
                  <c:v>7.780480478052212E-4</c:v>
                </c:pt>
                <c:pt idx="7">
                  <c:v>8.1090652242835851E-4</c:v>
                </c:pt>
                <c:pt idx="8">
                  <c:v>1.1916911232555314E-2</c:v>
                </c:pt>
                <c:pt idx="9">
                  <c:v>7.7008082050144333E-3</c:v>
                </c:pt>
                <c:pt idx="10">
                  <c:v>4.5414343280944444E-3</c:v>
                </c:pt>
                <c:pt idx="11">
                  <c:v>8.0363654609229961E-3</c:v>
                </c:pt>
                <c:pt idx="12">
                  <c:v>4.2592960493803228E-3</c:v>
                </c:pt>
                <c:pt idx="13">
                  <c:v>9.1463945224359283E-3</c:v>
                </c:pt>
                <c:pt idx="14">
                  <c:v>2.4588349569274709E-3</c:v>
                </c:pt>
                <c:pt idx="15">
                  <c:v>5.6541943052657116E-3</c:v>
                </c:pt>
                <c:pt idx="16">
                  <c:v>7.006939400162341E-3</c:v>
                </c:pt>
                <c:pt idx="17">
                  <c:v>6.9345460589599608E-3</c:v>
                </c:pt>
              </c:numCache>
            </c:numRef>
          </c:val>
          <c:smooth val="0"/>
        </c:ser>
        <c:ser>
          <c:idx val="1"/>
          <c:order val="1"/>
          <c:tx>
            <c:strRef>
              <c:f>'Ops Loss to Margin'!$F$33</c:f>
              <c:strCache>
                <c:ptCount val="1"/>
                <c:pt idx="0">
                  <c:v>Amber Trigger</c:v>
                </c:pt>
              </c:strCache>
            </c:strRef>
          </c:tx>
          <c:spPr>
            <a:ln w="28575" cap="rnd">
              <a:solidFill>
                <a:srgbClr val="FFC000"/>
              </a:solidFill>
              <a:prstDash val="sysDash"/>
              <a:round/>
            </a:ln>
            <a:effectLst/>
          </c:spPr>
          <c:marker>
            <c:symbol val="none"/>
          </c:marker>
          <c:dLbls>
            <c:delete val="1"/>
          </c:dLbls>
          <c:cat>
            <c:strRef>
              <c:f>'Ops Loss to Margin'!$G$2:$Z$2</c:f>
              <c:strCache>
                <c:ptCount val="18"/>
                <c:pt idx="0">
                  <c:v>Jan-15</c:v>
                </c:pt>
                <c:pt idx="1">
                  <c:v>Feb-15</c:v>
                </c:pt>
                <c:pt idx="2">
                  <c:v>Mar-15</c:v>
                </c:pt>
                <c:pt idx="3">
                  <c:v>Q1 - 2015</c:v>
                </c:pt>
                <c:pt idx="4">
                  <c:v>Apr-15</c:v>
                </c:pt>
                <c:pt idx="5">
                  <c:v>May-15</c:v>
                </c:pt>
                <c:pt idx="6">
                  <c:v>Jun-15</c:v>
                </c:pt>
                <c:pt idx="7">
                  <c:v>Q2 - 2015</c:v>
                </c:pt>
                <c:pt idx="8">
                  <c:v>Jul-15</c:v>
                </c:pt>
                <c:pt idx="9">
                  <c:v>Aug-15</c:v>
                </c:pt>
                <c:pt idx="10">
                  <c:v>Sep-15</c:v>
                </c:pt>
                <c:pt idx="11">
                  <c:v>Q3 - 2015</c:v>
                </c:pt>
                <c:pt idx="12">
                  <c:v>Oct-15</c:v>
                </c:pt>
                <c:pt idx="13">
                  <c:v>Nov-15</c:v>
                </c:pt>
                <c:pt idx="14">
                  <c:v>Dec-15</c:v>
                </c:pt>
                <c:pt idx="15">
                  <c:v>Q4 - 2015</c:v>
                </c:pt>
                <c:pt idx="16">
                  <c:v>Jan-16</c:v>
                </c:pt>
                <c:pt idx="17">
                  <c:v>Feb-16</c:v>
                </c:pt>
              </c:strCache>
            </c:strRef>
          </c:cat>
          <c:val>
            <c:numRef>
              <c:f>'Ops Loss to Margin'!$G$33:$Z$33</c:f>
              <c:numCache>
                <c:formatCode>0%</c:formatCode>
                <c:ptCount val="18"/>
                <c:pt idx="0">
                  <c:v>0.03</c:v>
                </c:pt>
                <c:pt idx="1">
                  <c:v>0.03</c:v>
                </c:pt>
                <c:pt idx="2">
                  <c:v>0.03</c:v>
                </c:pt>
                <c:pt idx="3">
                  <c:v>0.03</c:v>
                </c:pt>
                <c:pt idx="4">
                  <c:v>0.03</c:v>
                </c:pt>
                <c:pt idx="5">
                  <c:v>0.03</c:v>
                </c:pt>
                <c:pt idx="6">
                  <c:v>0.03</c:v>
                </c:pt>
                <c:pt idx="7">
                  <c:v>0.03</c:v>
                </c:pt>
                <c:pt idx="8">
                  <c:v>0.03</c:v>
                </c:pt>
                <c:pt idx="9">
                  <c:v>0.03</c:v>
                </c:pt>
                <c:pt idx="10">
                  <c:v>0.03</c:v>
                </c:pt>
                <c:pt idx="11">
                  <c:v>0.03</c:v>
                </c:pt>
                <c:pt idx="12">
                  <c:v>0.03</c:v>
                </c:pt>
                <c:pt idx="13">
                  <c:v>0.03</c:v>
                </c:pt>
                <c:pt idx="14">
                  <c:v>0.03</c:v>
                </c:pt>
                <c:pt idx="15">
                  <c:v>0.03</c:v>
                </c:pt>
                <c:pt idx="16">
                  <c:v>0.03</c:v>
                </c:pt>
                <c:pt idx="17">
                  <c:v>0.03</c:v>
                </c:pt>
              </c:numCache>
            </c:numRef>
          </c:val>
          <c:smooth val="0"/>
        </c:ser>
        <c:ser>
          <c:idx val="2"/>
          <c:order val="2"/>
          <c:tx>
            <c:strRef>
              <c:f>'Ops Loss to Margin'!$F$34</c:f>
              <c:strCache>
                <c:ptCount val="1"/>
                <c:pt idx="0">
                  <c:v>Red Limit</c:v>
                </c:pt>
              </c:strCache>
            </c:strRef>
          </c:tx>
          <c:spPr>
            <a:ln w="28575" cap="rnd">
              <a:solidFill>
                <a:srgbClr val="FF0000"/>
              </a:solidFill>
              <a:prstDash val="dash"/>
              <a:round/>
            </a:ln>
            <a:effectLst/>
          </c:spPr>
          <c:marker>
            <c:symbol val="none"/>
          </c:marker>
          <c:dLbls>
            <c:delete val="1"/>
          </c:dLbls>
          <c:cat>
            <c:strRef>
              <c:f>'Ops Loss to Margin'!$G$2:$Z$2</c:f>
              <c:strCache>
                <c:ptCount val="18"/>
                <c:pt idx="0">
                  <c:v>Jan-15</c:v>
                </c:pt>
                <c:pt idx="1">
                  <c:v>Feb-15</c:v>
                </c:pt>
                <c:pt idx="2">
                  <c:v>Mar-15</c:v>
                </c:pt>
                <c:pt idx="3">
                  <c:v>Q1 - 2015</c:v>
                </c:pt>
                <c:pt idx="4">
                  <c:v>Apr-15</c:v>
                </c:pt>
                <c:pt idx="5">
                  <c:v>May-15</c:v>
                </c:pt>
                <c:pt idx="6">
                  <c:v>Jun-15</c:v>
                </c:pt>
                <c:pt idx="7">
                  <c:v>Q2 - 2015</c:v>
                </c:pt>
                <c:pt idx="8">
                  <c:v>Jul-15</c:v>
                </c:pt>
                <c:pt idx="9">
                  <c:v>Aug-15</c:v>
                </c:pt>
                <c:pt idx="10">
                  <c:v>Sep-15</c:v>
                </c:pt>
                <c:pt idx="11">
                  <c:v>Q3 - 2015</c:v>
                </c:pt>
                <c:pt idx="12">
                  <c:v>Oct-15</c:v>
                </c:pt>
                <c:pt idx="13">
                  <c:v>Nov-15</c:v>
                </c:pt>
                <c:pt idx="14">
                  <c:v>Dec-15</c:v>
                </c:pt>
                <c:pt idx="15">
                  <c:v>Q4 - 2015</c:v>
                </c:pt>
                <c:pt idx="16">
                  <c:v>Jan-16</c:v>
                </c:pt>
                <c:pt idx="17">
                  <c:v>Feb-16</c:v>
                </c:pt>
              </c:strCache>
            </c:strRef>
          </c:cat>
          <c:val>
            <c:numRef>
              <c:f>'Ops Loss to Margin'!$G$34:$Z$34</c:f>
              <c:numCache>
                <c:formatCode>0%</c:formatCode>
                <c:ptCount val="18"/>
                <c:pt idx="0">
                  <c:v>0.05</c:v>
                </c:pt>
                <c:pt idx="1">
                  <c:v>0.05</c:v>
                </c:pt>
                <c:pt idx="2">
                  <c:v>0.05</c:v>
                </c:pt>
                <c:pt idx="3">
                  <c:v>0.05</c:v>
                </c:pt>
                <c:pt idx="4">
                  <c:v>0.05</c:v>
                </c:pt>
                <c:pt idx="5">
                  <c:v>0.05</c:v>
                </c:pt>
                <c:pt idx="6">
                  <c:v>0.05</c:v>
                </c:pt>
                <c:pt idx="7">
                  <c:v>0.05</c:v>
                </c:pt>
                <c:pt idx="8">
                  <c:v>0.05</c:v>
                </c:pt>
                <c:pt idx="9">
                  <c:v>0.05</c:v>
                </c:pt>
                <c:pt idx="10">
                  <c:v>0.05</c:v>
                </c:pt>
                <c:pt idx="11">
                  <c:v>0.05</c:v>
                </c:pt>
                <c:pt idx="12">
                  <c:v>0.05</c:v>
                </c:pt>
                <c:pt idx="13">
                  <c:v>0.05</c:v>
                </c:pt>
                <c:pt idx="14">
                  <c:v>0.05</c:v>
                </c:pt>
                <c:pt idx="15">
                  <c:v>0.05</c:v>
                </c:pt>
                <c:pt idx="16">
                  <c:v>0.05</c:v>
                </c:pt>
                <c:pt idx="17">
                  <c:v>0.05</c:v>
                </c:pt>
              </c:numCache>
            </c:numRef>
          </c:val>
          <c:smooth val="0"/>
        </c:ser>
        <c:dLbls>
          <c:dLblPos val="t"/>
          <c:showLegendKey val="0"/>
          <c:showVal val="1"/>
          <c:showCatName val="0"/>
          <c:showSerName val="0"/>
          <c:showPercent val="0"/>
          <c:showBubbleSize val="0"/>
        </c:dLbls>
        <c:marker val="1"/>
        <c:smooth val="0"/>
        <c:axId val="498514176"/>
        <c:axId val="499650560"/>
      </c:lineChart>
      <c:catAx>
        <c:axId val="498514176"/>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9650560"/>
        <c:crosses val="autoZero"/>
        <c:auto val="1"/>
        <c:lblAlgn val="ctr"/>
        <c:lblOffset val="100"/>
        <c:noMultiLvlLbl val="0"/>
      </c:catAx>
      <c:valAx>
        <c:axId val="49965056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8514176"/>
        <c:crosses val="autoZero"/>
        <c:crossBetween val="between"/>
      </c:valAx>
      <c:spPr>
        <a:noFill/>
        <a:ln>
          <a:noFill/>
        </a:ln>
        <a:effectLst/>
      </c:spPr>
    </c:plotArea>
    <c:legend>
      <c:legendPos val="b"/>
      <c:layout>
        <c:manualLayout>
          <c:xMode val="edge"/>
          <c:yMode val="edge"/>
          <c:x val="5.2665391560097544E-2"/>
          <c:y val="0.77375428601618823"/>
          <c:w val="0.92126472887697564"/>
          <c:h val="0.1924148779315063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Frequency of Events &gt; $200K</a:t>
            </a:r>
            <a:r>
              <a:rPr lang="en-US" baseline="0"/>
              <a:t> in Losses</a:t>
            </a:r>
          </a:p>
          <a:p>
            <a:pPr>
              <a:defRPr sz="1400" b="0" i="0" u="none" strike="noStrike" kern="1200" spc="0" baseline="0">
                <a:solidFill>
                  <a:schemeClr val="tx1">
                    <a:lumMod val="65000"/>
                    <a:lumOff val="35000"/>
                  </a:schemeClr>
                </a:solidFill>
                <a:latin typeface="+mn-lt"/>
                <a:ea typeface="+mn-ea"/>
                <a:cs typeface="+mn-cs"/>
              </a:defRPr>
            </a:pPr>
            <a:r>
              <a:rPr lang="en-US" baseline="0"/>
              <a:t>(Reported Quarterly)</a:t>
            </a:r>
            <a:endParaRPr lang="en-US"/>
          </a:p>
        </c:rich>
      </c:tx>
      <c:overlay val="0"/>
      <c:spPr>
        <a:noFill/>
        <a:ln>
          <a:noFill/>
        </a:ln>
        <a:effectLst/>
      </c:spPr>
    </c:title>
    <c:autoTitleDeleted val="0"/>
    <c:plotArea>
      <c:layout>
        <c:manualLayout>
          <c:layoutTarget val="inner"/>
          <c:xMode val="edge"/>
          <c:yMode val="edge"/>
          <c:x val="2.8306074867331207E-2"/>
          <c:y val="0.17196766065432606"/>
          <c:w val="0.94221365100281174"/>
          <c:h val="0.57948644569276286"/>
        </c:manualLayout>
      </c:layout>
      <c:barChart>
        <c:barDir val="col"/>
        <c:grouping val="clustered"/>
        <c:varyColors val="0"/>
        <c:ser>
          <c:idx val="0"/>
          <c:order val="0"/>
          <c:tx>
            <c:strRef>
              <c:f>'Frequency of Events'!$B$4:$C$4</c:f>
              <c:strCache>
                <c:ptCount val="1"/>
                <c:pt idx="0">
                  <c:v>Frequency of Events &gt; $200K in Losses (Cumulative Quarterly)</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'Frequency of Events'!$G$2:$Z$2</c:f>
              <c:strCache>
                <c:ptCount val="20"/>
                <c:pt idx="0">
                  <c:v>Jan-15</c:v>
                </c:pt>
                <c:pt idx="1">
                  <c:v>Feb-15</c:v>
                </c:pt>
                <c:pt idx="2">
                  <c:v>Mar-15</c:v>
                </c:pt>
                <c:pt idx="3">
                  <c:v>Q1 - 2015</c:v>
                </c:pt>
                <c:pt idx="4">
                  <c:v>Apr-15</c:v>
                </c:pt>
                <c:pt idx="5">
                  <c:v>May-15</c:v>
                </c:pt>
                <c:pt idx="6">
                  <c:v>Jun-15</c:v>
                </c:pt>
                <c:pt idx="7">
                  <c:v>Q2 - 2015</c:v>
                </c:pt>
                <c:pt idx="8">
                  <c:v>Jul-15</c:v>
                </c:pt>
                <c:pt idx="9">
                  <c:v>Aug-15</c:v>
                </c:pt>
                <c:pt idx="10">
                  <c:v>Sep-15</c:v>
                </c:pt>
                <c:pt idx="11">
                  <c:v>Q3 - 2015</c:v>
                </c:pt>
                <c:pt idx="12">
                  <c:v>Oct-15</c:v>
                </c:pt>
                <c:pt idx="13">
                  <c:v>Nov-15</c:v>
                </c:pt>
                <c:pt idx="14">
                  <c:v>Dec-15</c:v>
                </c:pt>
                <c:pt idx="15">
                  <c:v>Q4 - 2015</c:v>
                </c:pt>
                <c:pt idx="16">
                  <c:v>Jan-16</c:v>
                </c:pt>
                <c:pt idx="17">
                  <c:v>Feb-16</c:v>
                </c:pt>
                <c:pt idx="18">
                  <c:v>Mar-16</c:v>
                </c:pt>
                <c:pt idx="19">
                  <c:v>Q1 - 2016</c:v>
                </c:pt>
              </c:strCache>
            </c:strRef>
          </c:cat>
          <c:val>
            <c:numRef>
              <c:f>'Frequency of Events'!$G$4:$Z$4</c:f>
              <c:numCache>
                <c:formatCode>General</c:formatCode>
                <c:ptCount val="20"/>
                <c:pt idx="0">
                  <c:v>0</c:v>
                </c:pt>
                <c:pt idx="1">
                  <c:v>3</c:v>
                </c:pt>
                <c:pt idx="2">
                  <c:v>1</c:v>
                </c:pt>
                <c:pt idx="3">
                  <c:v>4</c:v>
                </c:pt>
                <c:pt idx="4">
                  <c:v>0</c:v>
                </c:pt>
                <c:pt idx="5">
                  <c:v>1</c:v>
                </c:pt>
                <c:pt idx="6">
                  <c:v>0</c:v>
                </c:pt>
                <c:pt idx="7">
                  <c:v>1</c:v>
                </c:pt>
                <c:pt idx="8">
                  <c:v>1</c:v>
                </c:pt>
                <c:pt idx="9">
                  <c:v>2</c:v>
                </c:pt>
                <c:pt idx="10">
                  <c:v>1</c:v>
                </c:pt>
                <c:pt idx="11">
                  <c:v>4</c:v>
                </c:pt>
                <c:pt idx="12">
                  <c:v>0</c:v>
                </c:pt>
                <c:pt idx="13">
                  <c:v>1</c:v>
                </c:pt>
                <c:pt idx="14">
                  <c:v>0</c:v>
                </c:pt>
                <c:pt idx="15">
                  <c:v>1</c:v>
                </c:pt>
                <c:pt idx="16">
                  <c:v>2</c:v>
                </c:pt>
                <c:pt idx="17">
                  <c:v>2</c:v>
                </c:pt>
                <c:pt idx="18">
                  <c:v>2</c:v>
                </c:pt>
                <c:pt idx="19">
                  <c:v>6</c:v>
                </c:pt>
              </c:numCache>
            </c:numRef>
          </c:val>
        </c:ser>
        <c:dLbls>
          <c:showLegendKey val="0"/>
          <c:showVal val="1"/>
          <c:showCatName val="0"/>
          <c:showSerName val="0"/>
          <c:showPercent val="0"/>
          <c:showBubbleSize val="0"/>
        </c:dLbls>
        <c:gapWidth val="150"/>
        <c:axId val="499707904"/>
        <c:axId val="499709440"/>
      </c:barChart>
      <c:lineChart>
        <c:grouping val="standard"/>
        <c:varyColors val="0"/>
        <c:ser>
          <c:idx val="1"/>
          <c:order val="1"/>
          <c:tx>
            <c:strRef>
              <c:f>'Frequency of Events'!$F$33</c:f>
              <c:strCache>
                <c:ptCount val="1"/>
                <c:pt idx="0">
                  <c:v>Amber Trigger</c:v>
                </c:pt>
              </c:strCache>
            </c:strRef>
          </c:tx>
          <c:spPr>
            <a:ln w="28575" cap="rnd">
              <a:solidFill>
                <a:srgbClr val="FFC000"/>
              </a:solidFill>
              <a:prstDash val="sysDash"/>
              <a:round/>
            </a:ln>
            <a:effectLst/>
          </c:spPr>
          <c:marker>
            <c:symbol val="none"/>
          </c:marker>
          <c:dLbls>
            <c:delete val="1"/>
          </c:dLbls>
          <c:cat>
            <c:strLit>
              <c:ptCount val="32"/>
              <c:pt idx="0">
                <c:v>42005</c:v>
              </c:pt>
              <c:pt idx="1">
                <c:v>42036</c:v>
              </c:pt>
              <c:pt idx="2">
                <c:v>42064</c:v>
              </c:pt>
              <c:pt idx="3">
                <c:v>Q1 - 2015</c:v>
              </c:pt>
              <c:pt idx="4">
                <c:v>42095</c:v>
              </c:pt>
              <c:pt idx="5">
                <c:v>42125</c:v>
              </c:pt>
              <c:pt idx="6">
                <c:v>42156</c:v>
              </c:pt>
              <c:pt idx="7">
                <c:v>Q2 - 2015</c:v>
              </c:pt>
              <c:pt idx="8">
                <c:v>42186</c:v>
              </c:pt>
              <c:pt idx="9">
                <c:v>42217</c:v>
              </c:pt>
              <c:pt idx="10">
                <c:v>42248</c:v>
              </c:pt>
              <c:pt idx="11">
                <c:v>Q3 - 2015</c:v>
              </c:pt>
              <c:pt idx="12">
                <c:v>42278</c:v>
              </c:pt>
              <c:pt idx="13">
                <c:v>42309</c:v>
              </c:pt>
              <c:pt idx="14">
                <c:v>42339</c:v>
              </c:pt>
              <c:pt idx="15">
                <c:v>Q4 - 2015</c:v>
              </c:pt>
              <c:pt idx="16">
                <c:v>42370</c:v>
              </c:pt>
              <c:pt idx="17">
                <c:v>42401</c:v>
              </c:pt>
              <c:pt idx="18">
                <c:v>42430</c:v>
              </c:pt>
              <c:pt idx="19">
                <c:v>Q1 - 2016</c:v>
              </c:pt>
              <c:pt idx="20">
                <c:v>42461</c:v>
              </c:pt>
              <c:pt idx="21">
                <c:v>42491</c:v>
              </c:pt>
              <c:pt idx="22">
                <c:v>42522</c:v>
              </c:pt>
              <c:pt idx="23">
                <c:v>Q2 - 2016</c:v>
              </c:pt>
              <c:pt idx="24">
                <c:v>42552</c:v>
              </c:pt>
              <c:pt idx="25">
                <c:v>42583</c:v>
              </c:pt>
              <c:pt idx="26">
                <c:v>42614</c:v>
              </c:pt>
              <c:pt idx="27">
                <c:v>Q3 - 2016</c:v>
              </c:pt>
              <c:pt idx="28">
                <c:v>42644</c:v>
              </c:pt>
              <c:pt idx="29">
                <c:v>42675</c:v>
              </c:pt>
              <c:pt idx="30">
                <c:v>42705</c:v>
              </c:pt>
              <c:pt idx="31">
                <c:v>Q4 - 2016</c:v>
              </c:pt>
            </c:strLit>
          </c:cat>
          <c:val>
            <c:numRef>
              <c:f>'Frequency of Events'!$G$33:$Z$33</c:f>
              <c:numCache>
                <c:formatCode>_(* #,##0_);_(* \(#,##0\);_(* "-"??_);_(@_)</c:formatCode>
                <c:ptCount val="20"/>
                <c:pt idx="0">
                  <c:v>3</c:v>
                </c:pt>
                <c:pt idx="1">
                  <c:v>3</c:v>
                </c:pt>
                <c:pt idx="2">
                  <c:v>3</c:v>
                </c:pt>
                <c:pt idx="3">
                  <c:v>3</c:v>
                </c:pt>
                <c:pt idx="4">
                  <c:v>3</c:v>
                </c:pt>
                <c:pt idx="5">
                  <c:v>3</c:v>
                </c:pt>
                <c:pt idx="6">
                  <c:v>3</c:v>
                </c:pt>
                <c:pt idx="7">
                  <c:v>3</c:v>
                </c:pt>
                <c:pt idx="8">
                  <c:v>3</c:v>
                </c:pt>
                <c:pt idx="9">
                  <c:v>3</c:v>
                </c:pt>
                <c:pt idx="10">
                  <c:v>3</c:v>
                </c:pt>
                <c:pt idx="11">
                  <c:v>3</c:v>
                </c:pt>
                <c:pt idx="12">
                  <c:v>3</c:v>
                </c:pt>
                <c:pt idx="13">
                  <c:v>3</c:v>
                </c:pt>
                <c:pt idx="14">
                  <c:v>3</c:v>
                </c:pt>
                <c:pt idx="15">
                  <c:v>3</c:v>
                </c:pt>
                <c:pt idx="16">
                  <c:v>3</c:v>
                </c:pt>
                <c:pt idx="17">
                  <c:v>3</c:v>
                </c:pt>
                <c:pt idx="18">
                  <c:v>3</c:v>
                </c:pt>
                <c:pt idx="19">
                  <c:v>3</c:v>
                </c:pt>
              </c:numCache>
            </c:numRef>
          </c:val>
          <c:smooth val="0"/>
        </c:ser>
        <c:ser>
          <c:idx val="2"/>
          <c:order val="2"/>
          <c:tx>
            <c:strRef>
              <c:f>'Frequency of Events'!$F$34</c:f>
              <c:strCache>
                <c:ptCount val="1"/>
                <c:pt idx="0">
                  <c:v>Red Limit</c:v>
                </c:pt>
              </c:strCache>
            </c:strRef>
          </c:tx>
          <c:spPr>
            <a:ln w="28575" cap="rnd">
              <a:solidFill>
                <a:srgbClr val="FF0000"/>
              </a:solidFill>
              <a:prstDash val="dash"/>
              <a:round/>
            </a:ln>
            <a:effectLst/>
          </c:spPr>
          <c:marker>
            <c:symbol val="none"/>
          </c:marker>
          <c:dLbls>
            <c:delete val="1"/>
          </c:dLbls>
          <c:cat>
            <c:strLit>
              <c:ptCount val="32"/>
              <c:pt idx="0">
                <c:v>42005</c:v>
              </c:pt>
              <c:pt idx="1">
                <c:v>42036</c:v>
              </c:pt>
              <c:pt idx="2">
                <c:v>42064</c:v>
              </c:pt>
              <c:pt idx="3">
                <c:v>Q1 - 2015</c:v>
              </c:pt>
              <c:pt idx="4">
                <c:v>42095</c:v>
              </c:pt>
              <c:pt idx="5">
                <c:v>42125</c:v>
              </c:pt>
              <c:pt idx="6">
                <c:v>42156</c:v>
              </c:pt>
              <c:pt idx="7">
                <c:v>Q2 - 2015</c:v>
              </c:pt>
              <c:pt idx="8">
                <c:v>42186</c:v>
              </c:pt>
              <c:pt idx="9">
                <c:v>42217</c:v>
              </c:pt>
              <c:pt idx="10">
                <c:v>42248</c:v>
              </c:pt>
              <c:pt idx="11">
                <c:v>Q3 - 2015</c:v>
              </c:pt>
              <c:pt idx="12">
                <c:v>42278</c:v>
              </c:pt>
              <c:pt idx="13">
                <c:v>42309</c:v>
              </c:pt>
              <c:pt idx="14">
                <c:v>42339</c:v>
              </c:pt>
              <c:pt idx="15">
                <c:v>Q4 - 2015</c:v>
              </c:pt>
              <c:pt idx="16">
                <c:v>42370</c:v>
              </c:pt>
              <c:pt idx="17">
                <c:v>42401</c:v>
              </c:pt>
              <c:pt idx="18">
                <c:v>42430</c:v>
              </c:pt>
              <c:pt idx="19">
                <c:v>Q1 - 2016</c:v>
              </c:pt>
              <c:pt idx="20">
                <c:v>42461</c:v>
              </c:pt>
              <c:pt idx="21">
                <c:v>42491</c:v>
              </c:pt>
              <c:pt idx="22">
                <c:v>42522</c:v>
              </c:pt>
              <c:pt idx="23">
                <c:v>Q2 - 2016</c:v>
              </c:pt>
              <c:pt idx="24">
                <c:v>42552</c:v>
              </c:pt>
              <c:pt idx="25">
                <c:v>42583</c:v>
              </c:pt>
              <c:pt idx="26">
                <c:v>42614</c:v>
              </c:pt>
              <c:pt idx="27">
                <c:v>Q3 - 2016</c:v>
              </c:pt>
              <c:pt idx="28">
                <c:v>42644</c:v>
              </c:pt>
              <c:pt idx="29">
                <c:v>42675</c:v>
              </c:pt>
              <c:pt idx="30">
                <c:v>42705</c:v>
              </c:pt>
              <c:pt idx="31">
                <c:v>Q4 - 2016</c:v>
              </c:pt>
            </c:strLit>
          </c:cat>
          <c:val>
            <c:numRef>
              <c:f>'Frequency of Events'!$G$34:$Z$34</c:f>
              <c:numCache>
                <c:formatCode>_(* #,##0_);_(* \(#,##0\);_(* "-"??_);_(@_)</c:formatCode>
                <c:ptCount val="20"/>
                <c:pt idx="0">
                  <c:v>6</c:v>
                </c:pt>
                <c:pt idx="1">
                  <c:v>6</c:v>
                </c:pt>
                <c:pt idx="2">
                  <c:v>6</c:v>
                </c:pt>
                <c:pt idx="3">
                  <c:v>6</c:v>
                </c:pt>
                <c:pt idx="4">
                  <c:v>6</c:v>
                </c:pt>
                <c:pt idx="5">
                  <c:v>6</c:v>
                </c:pt>
                <c:pt idx="6">
                  <c:v>6</c:v>
                </c:pt>
                <c:pt idx="7">
                  <c:v>6</c:v>
                </c:pt>
                <c:pt idx="8">
                  <c:v>6</c:v>
                </c:pt>
                <c:pt idx="9">
                  <c:v>6</c:v>
                </c:pt>
                <c:pt idx="10">
                  <c:v>6</c:v>
                </c:pt>
                <c:pt idx="11">
                  <c:v>6</c:v>
                </c:pt>
                <c:pt idx="12">
                  <c:v>6</c:v>
                </c:pt>
                <c:pt idx="13">
                  <c:v>6</c:v>
                </c:pt>
                <c:pt idx="14">
                  <c:v>6</c:v>
                </c:pt>
                <c:pt idx="15">
                  <c:v>6</c:v>
                </c:pt>
                <c:pt idx="16">
                  <c:v>6</c:v>
                </c:pt>
                <c:pt idx="17">
                  <c:v>6</c:v>
                </c:pt>
                <c:pt idx="18">
                  <c:v>6</c:v>
                </c:pt>
                <c:pt idx="19">
                  <c:v>6</c:v>
                </c:pt>
              </c:numCache>
            </c:numRef>
          </c:val>
          <c:smooth val="0"/>
        </c:ser>
        <c:dLbls>
          <c:showLegendKey val="0"/>
          <c:showVal val="1"/>
          <c:showCatName val="0"/>
          <c:showSerName val="0"/>
          <c:showPercent val="0"/>
          <c:showBubbleSize val="0"/>
        </c:dLbls>
        <c:marker val="1"/>
        <c:smooth val="0"/>
        <c:axId val="499707904"/>
        <c:axId val="499709440"/>
      </c:lineChart>
      <c:catAx>
        <c:axId val="4997079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9709440"/>
        <c:crosses val="autoZero"/>
        <c:auto val="1"/>
        <c:lblAlgn val="ctr"/>
        <c:lblOffset val="100"/>
        <c:noMultiLvlLbl val="0"/>
      </c:catAx>
      <c:valAx>
        <c:axId val="499709440"/>
        <c:scaling>
          <c:orientation val="minMax"/>
          <c:max val="6"/>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9707904"/>
        <c:crosses val="autoZero"/>
        <c:crossBetween val="between"/>
      </c:valAx>
      <c:spPr>
        <a:noFill/>
        <a:ln>
          <a:noFill/>
        </a:ln>
        <a:effectLst/>
      </c:spPr>
    </c:plotArea>
    <c:legend>
      <c:legendPos val="b"/>
      <c:layout>
        <c:manualLayout>
          <c:xMode val="edge"/>
          <c:yMode val="edge"/>
          <c:x val="3.9803335753243609E-2"/>
          <c:y val="0.83013886194209596"/>
          <c:w val="0.93812382494741353"/>
          <c:h val="0.1642226603758422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Serviced</a:t>
            </a:r>
            <a:r>
              <a:rPr lang="en-US" baseline="0"/>
              <a:t> for </a:t>
            </a:r>
            <a:r>
              <a:rPr lang="en-US"/>
              <a:t>Others</a:t>
            </a:r>
            <a:r>
              <a:rPr lang="en-US" baseline="0"/>
              <a:t> Monthly NCO</a:t>
            </a:r>
            <a:endParaRPr lang="en-US"/>
          </a:p>
        </c:rich>
      </c:tx>
      <c:overlay val="0"/>
      <c:spPr>
        <a:noFill/>
        <a:ln>
          <a:noFill/>
        </a:ln>
        <a:effectLst/>
      </c:spPr>
    </c:title>
    <c:autoTitleDeleted val="0"/>
    <c:plotArea>
      <c:layout>
        <c:manualLayout>
          <c:layoutTarget val="inner"/>
          <c:xMode val="edge"/>
          <c:yMode val="edge"/>
          <c:x val="0.10318354132654473"/>
          <c:y val="0.12694348510447923"/>
          <c:w val="0.86460287593274121"/>
          <c:h val="0.52107292209885037"/>
        </c:manualLayout>
      </c:layout>
      <c:lineChart>
        <c:grouping val="standard"/>
        <c:varyColors val="0"/>
        <c:ser>
          <c:idx val="0"/>
          <c:order val="0"/>
          <c:tx>
            <c:strRef>
              <c:f>'SFO - NCO'!$B$5:$C$5</c:f>
              <c:strCache>
                <c:ptCount val="1"/>
                <c:pt idx="0">
                  <c:v>Serviced for Others (SFO) Monthly Net Charge-Off Rate (BofA &amp; RBC Only)</c:v>
                </c:pt>
              </c:strCache>
            </c:strRef>
          </c:tx>
          <c:spPr>
            <a:ln w="28575" cap="rnd">
              <a:solidFill>
                <a:schemeClr val="accent1"/>
              </a:solidFill>
              <a:round/>
            </a:ln>
            <a:effectLst/>
          </c:spPr>
          <c:marker>
            <c:symbol val="none"/>
          </c:marker>
          <c:cat>
            <c:numRef>
              <c:f>'SFO - NCO'!$G$2:$U$2</c:f>
              <c:numCache>
                <c:formatCode>mmm\-yy</c:formatCode>
                <c:ptCount val="15"/>
                <c:pt idx="0">
                  <c:v>42005</c:v>
                </c:pt>
                <c:pt idx="1">
                  <c:v>42036</c:v>
                </c:pt>
                <c:pt idx="2">
                  <c:v>42064</c:v>
                </c:pt>
                <c:pt idx="3">
                  <c:v>42095</c:v>
                </c:pt>
                <c:pt idx="4">
                  <c:v>42125</c:v>
                </c:pt>
                <c:pt idx="5">
                  <c:v>42156</c:v>
                </c:pt>
                <c:pt idx="6">
                  <c:v>42186</c:v>
                </c:pt>
                <c:pt idx="7">
                  <c:v>42217</c:v>
                </c:pt>
                <c:pt idx="8">
                  <c:v>42248</c:v>
                </c:pt>
                <c:pt idx="9">
                  <c:v>42278</c:v>
                </c:pt>
                <c:pt idx="10">
                  <c:v>42309</c:v>
                </c:pt>
                <c:pt idx="11">
                  <c:v>42339</c:v>
                </c:pt>
                <c:pt idx="12">
                  <c:v>42370</c:v>
                </c:pt>
                <c:pt idx="13">
                  <c:v>42401</c:v>
                </c:pt>
                <c:pt idx="14">
                  <c:v>42430</c:v>
                </c:pt>
              </c:numCache>
            </c:numRef>
          </c:cat>
          <c:val>
            <c:numRef>
              <c:f>'SFO - NCO'!$G$5:$U$5</c:f>
              <c:numCache>
                <c:formatCode>0.00%</c:formatCode>
                <c:ptCount val="15"/>
                <c:pt idx="0">
                  <c:v>4.3841171233517011E-3</c:v>
                </c:pt>
                <c:pt idx="1">
                  <c:v>4.8088326206038486E-3</c:v>
                </c:pt>
                <c:pt idx="2">
                  <c:v>4.9705105850337298E-3</c:v>
                </c:pt>
                <c:pt idx="3">
                  <c:v>5.0743312402272943E-3</c:v>
                </c:pt>
                <c:pt idx="4">
                  <c:v>5.6831939225929738E-3</c:v>
                </c:pt>
                <c:pt idx="5">
                  <c:v>6.1310246763054688E-3</c:v>
                </c:pt>
                <c:pt idx="6">
                  <c:v>6.506671158423228E-3</c:v>
                </c:pt>
                <c:pt idx="7">
                  <c:v>6.7398942987008797E-3</c:v>
                </c:pt>
                <c:pt idx="8">
                  <c:v>6.9992731151196884E-3</c:v>
                </c:pt>
                <c:pt idx="9">
                  <c:v>7.4286461079236411E-3</c:v>
                </c:pt>
                <c:pt idx="10">
                  <c:v>7.7922129419386796E-3</c:v>
                </c:pt>
                <c:pt idx="11">
                  <c:v>7.9961589251269297E-3</c:v>
                </c:pt>
                <c:pt idx="12">
                  <c:v>8.2963613982085724E-3</c:v>
                </c:pt>
                <c:pt idx="13">
                  <c:v>8.228305157940121E-3</c:v>
                </c:pt>
                <c:pt idx="14">
                  <c:v>8.3890475442786432E-3</c:v>
                </c:pt>
              </c:numCache>
            </c:numRef>
          </c:val>
          <c:smooth val="0"/>
        </c:ser>
        <c:ser>
          <c:idx val="1"/>
          <c:order val="1"/>
          <c:tx>
            <c:strRef>
              <c:f>'SFO - NCO'!$F$33</c:f>
              <c:strCache>
                <c:ptCount val="1"/>
                <c:pt idx="0">
                  <c:v>Amber Trigger</c:v>
                </c:pt>
              </c:strCache>
            </c:strRef>
          </c:tx>
          <c:spPr>
            <a:ln w="28575" cap="rnd">
              <a:solidFill>
                <a:srgbClr val="FFC000"/>
              </a:solidFill>
              <a:prstDash val="sysDash"/>
              <a:round/>
            </a:ln>
            <a:effectLst/>
          </c:spPr>
          <c:marker>
            <c:symbol val="none"/>
          </c:marker>
          <c:cat>
            <c:numRef>
              <c:f>'SFO - NCO'!$G$2:$U$2</c:f>
              <c:numCache>
                <c:formatCode>mmm\-yy</c:formatCode>
                <c:ptCount val="15"/>
                <c:pt idx="0">
                  <c:v>42005</c:v>
                </c:pt>
                <c:pt idx="1">
                  <c:v>42036</c:v>
                </c:pt>
                <c:pt idx="2">
                  <c:v>42064</c:v>
                </c:pt>
                <c:pt idx="3">
                  <c:v>42095</c:v>
                </c:pt>
                <c:pt idx="4">
                  <c:v>42125</c:v>
                </c:pt>
                <c:pt idx="5">
                  <c:v>42156</c:v>
                </c:pt>
                <c:pt idx="6">
                  <c:v>42186</c:v>
                </c:pt>
                <c:pt idx="7">
                  <c:v>42217</c:v>
                </c:pt>
                <c:pt idx="8">
                  <c:v>42248</c:v>
                </c:pt>
                <c:pt idx="9">
                  <c:v>42278</c:v>
                </c:pt>
                <c:pt idx="10">
                  <c:v>42309</c:v>
                </c:pt>
                <c:pt idx="11">
                  <c:v>42339</c:v>
                </c:pt>
                <c:pt idx="12">
                  <c:v>42370</c:v>
                </c:pt>
                <c:pt idx="13">
                  <c:v>42401</c:v>
                </c:pt>
                <c:pt idx="14">
                  <c:v>42430</c:v>
                </c:pt>
              </c:numCache>
            </c:numRef>
          </c:cat>
          <c:val>
            <c:numRef>
              <c:f>'SFO - NCO'!$G$33:$U$33</c:f>
              <c:numCache>
                <c:formatCode>0.00%</c:formatCode>
                <c:ptCount val="15"/>
                <c:pt idx="0">
                  <c:v>1.4999999999999999E-2</c:v>
                </c:pt>
                <c:pt idx="1">
                  <c:v>1.4999999999999999E-2</c:v>
                </c:pt>
                <c:pt idx="2">
                  <c:v>1.4999999999999999E-2</c:v>
                </c:pt>
                <c:pt idx="3">
                  <c:v>1.4999999999999999E-2</c:v>
                </c:pt>
                <c:pt idx="4">
                  <c:v>1.4999999999999999E-2</c:v>
                </c:pt>
                <c:pt idx="5">
                  <c:v>1.4999999999999999E-2</c:v>
                </c:pt>
                <c:pt idx="6">
                  <c:v>1.4999999999999999E-2</c:v>
                </c:pt>
                <c:pt idx="7">
                  <c:v>1.4999999999999999E-2</c:v>
                </c:pt>
                <c:pt idx="8">
                  <c:v>1.4999999999999999E-2</c:v>
                </c:pt>
                <c:pt idx="9">
                  <c:v>1.4999999999999999E-2</c:v>
                </c:pt>
                <c:pt idx="10">
                  <c:v>1.4999999999999999E-2</c:v>
                </c:pt>
                <c:pt idx="11">
                  <c:v>1.4999999999999999E-2</c:v>
                </c:pt>
                <c:pt idx="12">
                  <c:v>1.4999999999999999E-2</c:v>
                </c:pt>
                <c:pt idx="13">
                  <c:v>1.4999999999999999E-2</c:v>
                </c:pt>
                <c:pt idx="14">
                  <c:v>1.4999999999999999E-2</c:v>
                </c:pt>
              </c:numCache>
            </c:numRef>
          </c:val>
          <c:smooth val="0"/>
        </c:ser>
        <c:ser>
          <c:idx val="2"/>
          <c:order val="2"/>
          <c:tx>
            <c:strRef>
              <c:f>'SFO - NCO'!$F$34</c:f>
              <c:strCache>
                <c:ptCount val="1"/>
                <c:pt idx="0">
                  <c:v>Red Limit</c:v>
                </c:pt>
              </c:strCache>
            </c:strRef>
          </c:tx>
          <c:spPr>
            <a:ln w="28575" cap="rnd">
              <a:solidFill>
                <a:srgbClr val="FF0000"/>
              </a:solidFill>
              <a:prstDash val="dash"/>
              <a:round/>
            </a:ln>
            <a:effectLst/>
          </c:spPr>
          <c:marker>
            <c:symbol val="none"/>
          </c:marker>
          <c:cat>
            <c:numRef>
              <c:f>'SFO - NCO'!$G$2:$U$2</c:f>
              <c:numCache>
                <c:formatCode>mmm\-yy</c:formatCode>
                <c:ptCount val="15"/>
                <c:pt idx="0">
                  <c:v>42005</c:v>
                </c:pt>
                <c:pt idx="1">
                  <c:v>42036</c:v>
                </c:pt>
                <c:pt idx="2">
                  <c:v>42064</c:v>
                </c:pt>
                <c:pt idx="3">
                  <c:v>42095</c:v>
                </c:pt>
                <c:pt idx="4">
                  <c:v>42125</c:v>
                </c:pt>
                <c:pt idx="5">
                  <c:v>42156</c:v>
                </c:pt>
                <c:pt idx="6">
                  <c:v>42186</c:v>
                </c:pt>
                <c:pt idx="7">
                  <c:v>42217</c:v>
                </c:pt>
                <c:pt idx="8">
                  <c:v>42248</c:v>
                </c:pt>
                <c:pt idx="9">
                  <c:v>42278</c:v>
                </c:pt>
                <c:pt idx="10">
                  <c:v>42309</c:v>
                </c:pt>
                <c:pt idx="11">
                  <c:v>42339</c:v>
                </c:pt>
                <c:pt idx="12">
                  <c:v>42370</c:v>
                </c:pt>
                <c:pt idx="13">
                  <c:v>42401</c:v>
                </c:pt>
                <c:pt idx="14">
                  <c:v>42430</c:v>
                </c:pt>
              </c:numCache>
            </c:numRef>
          </c:cat>
          <c:val>
            <c:numRef>
              <c:f>'SFO - NCO'!$G$34:$U$34</c:f>
              <c:numCache>
                <c:formatCode>0.00%</c:formatCode>
                <c:ptCount val="15"/>
                <c:pt idx="0">
                  <c:v>0.02</c:v>
                </c:pt>
                <c:pt idx="1">
                  <c:v>0.02</c:v>
                </c:pt>
                <c:pt idx="2">
                  <c:v>0.02</c:v>
                </c:pt>
                <c:pt idx="3">
                  <c:v>0.02</c:v>
                </c:pt>
                <c:pt idx="4">
                  <c:v>0.02</c:v>
                </c:pt>
                <c:pt idx="5">
                  <c:v>0.02</c:v>
                </c:pt>
                <c:pt idx="6">
                  <c:v>0.02</c:v>
                </c:pt>
                <c:pt idx="7">
                  <c:v>0.02</c:v>
                </c:pt>
                <c:pt idx="8">
                  <c:v>0.02</c:v>
                </c:pt>
                <c:pt idx="9">
                  <c:v>0.02</c:v>
                </c:pt>
                <c:pt idx="10">
                  <c:v>0.02</c:v>
                </c:pt>
                <c:pt idx="11">
                  <c:v>0.02</c:v>
                </c:pt>
                <c:pt idx="12">
                  <c:v>0.02</c:v>
                </c:pt>
                <c:pt idx="13">
                  <c:v>0.02</c:v>
                </c:pt>
                <c:pt idx="14">
                  <c:v>0.02</c:v>
                </c:pt>
              </c:numCache>
            </c:numRef>
          </c:val>
          <c:smooth val="0"/>
        </c:ser>
        <c:dLbls>
          <c:showLegendKey val="0"/>
          <c:showVal val="0"/>
          <c:showCatName val="0"/>
          <c:showSerName val="0"/>
          <c:showPercent val="0"/>
          <c:showBubbleSize val="0"/>
        </c:dLbls>
        <c:marker val="1"/>
        <c:smooth val="0"/>
        <c:axId val="499817088"/>
        <c:axId val="499827072"/>
      </c:lineChart>
      <c:dateAx>
        <c:axId val="499817088"/>
        <c:scaling>
          <c:orientation val="minMax"/>
        </c:scaling>
        <c:delete val="0"/>
        <c:axPos val="b"/>
        <c:numFmt formatCode="mmm\-yy"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499827072"/>
        <c:crosses val="autoZero"/>
        <c:auto val="1"/>
        <c:lblOffset val="100"/>
        <c:baseTimeUnit val="months"/>
      </c:dateAx>
      <c:valAx>
        <c:axId val="499827072"/>
        <c:scaling>
          <c:orientation val="minMax"/>
          <c:max val="2.5000000000000005E-2"/>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9817088"/>
        <c:crosses val="autoZero"/>
        <c:crossBetween val="between"/>
      </c:valAx>
      <c:spPr>
        <a:noFill/>
        <a:ln>
          <a:noFill/>
        </a:ln>
        <a:effectLst/>
      </c:spPr>
    </c:plotArea>
    <c:legend>
      <c:legendPos val="b"/>
      <c:layout>
        <c:manualLayout>
          <c:xMode val="edge"/>
          <c:yMode val="edge"/>
          <c:x val="5.8046708542018322E-3"/>
          <c:y val="0.82716781727704314"/>
          <c:w val="0.98546192017857004"/>
          <c:h val="0.1399819211614438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Confirmed Fraud ($) of  Total Loan Originations ($)</a:t>
            </a:r>
          </a:p>
        </c:rich>
      </c:tx>
      <c:overlay val="0"/>
      <c:spPr>
        <a:noFill/>
        <a:ln>
          <a:noFill/>
        </a:ln>
        <a:effectLst/>
      </c:spPr>
    </c:title>
    <c:autoTitleDeleted val="0"/>
    <c:plotArea>
      <c:layout>
        <c:manualLayout>
          <c:layoutTarget val="inner"/>
          <c:xMode val="edge"/>
          <c:yMode val="edge"/>
          <c:x val="4.3226437604390364E-2"/>
          <c:y val="2.3367699491384539E-2"/>
          <c:w val="0.94667255229459957"/>
          <c:h val="0.83871365414240773"/>
        </c:manualLayout>
      </c:layout>
      <c:lineChart>
        <c:grouping val="standard"/>
        <c:varyColors val="0"/>
        <c:ser>
          <c:idx val="0"/>
          <c:order val="0"/>
          <c:tx>
            <c:strRef>
              <c:f>'Fraud of Total Loan Origination'!$B$3</c:f>
              <c:strCache>
                <c:ptCount val="1"/>
                <c:pt idx="0">
                  <c:v>% Confirmed Fraud ($) of  Total Loan Originations ($)</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noFill/>
                      <a:round/>
                    </a:ln>
                    <a:effectLst/>
                  </c:spPr>
                </c15:leaderLines>
              </c:ext>
            </c:extLst>
          </c:dLbls>
          <c:cat>
            <c:strRef>
              <c:f>'Fraud of Total Loan Origination'!$F$2:$J$2</c:f>
              <c:strCache>
                <c:ptCount val="5"/>
                <c:pt idx="0">
                  <c:v>Q1 - 2015</c:v>
                </c:pt>
                <c:pt idx="1">
                  <c:v>Q2 - 2015</c:v>
                </c:pt>
                <c:pt idx="2">
                  <c:v>Q3 - 2015</c:v>
                </c:pt>
                <c:pt idx="3">
                  <c:v>Q4 - 2015</c:v>
                </c:pt>
                <c:pt idx="4">
                  <c:v>Q1 - 2016</c:v>
                </c:pt>
              </c:strCache>
            </c:strRef>
          </c:cat>
          <c:val>
            <c:numRef>
              <c:f>'Fraud of Total Loan Origination'!$F$3:$J$3</c:f>
              <c:numCache>
                <c:formatCode>0.000%</c:formatCode>
                <c:ptCount val="5"/>
                <c:pt idx="0">
                  <c:v>1.8500000000000001E-3</c:v>
                </c:pt>
                <c:pt idx="1">
                  <c:v>3.8000000000000002E-4</c:v>
                </c:pt>
                <c:pt idx="2">
                  <c:v>2.48E-3</c:v>
                </c:pt>
                <c:pt idx="3">
                  <c:v>2.97E-3</c:v>
                </c:pt>
                <c:pt idx="4">
                  <c:v>2.8999999999999998E-3</c:v>
                </c:pt>
              </c:numCache>
            </c:numRef>
          </c:val>
          <c:smooth val="0"/>
        </c:ser>
        <c:ser>
          <c:idx val="1"/>
          <c:order val="1"/>
          <c:tx>
            <c:strRef>
              <c:f>'Fraud of Total Loan Origination'!$E$32</c:f>
              <c:strCache>
                <c:ptCount val="1"/>
                <c:pt idx="0">
                  <c:v>Amber Trigger</c:v>
                </c:pt>
              </c:strCache>
            </c:strRef>
          </c:tx>
          <c:spPr>
            <a:ln w="28575" cap="rnd">
              <a:solidFill>
                <a:srgbClr val="FFC000"/>
              </a:solidFill>
              <a:prstDash val="sysDash"/>
              <a:round/>
            </a:ln>
            <a:effectLst/>
          </c:spPr>
          <c:marker>
            <c:symbol val="none"/>
          </c:marker>
          <c:dLbls>
            <c:delete val="1"/>
          </c:dLbls>
          <c:cat>
            <c:strRef>
              <c:f>'Fraud of Total Loan Origination'!$F$2:$J$2</c:f>
              <c:strCache>
                <c:ptCount val="5"/>
                <c:pt idx="0">
                  <c:v>Q1 - 2015</c:v>
                </c:pt>
                <c:pt idx="1">
                  <c:v>Q2 - 2015</c:v>
                </c:pt>
                <c:pt idx="2">
                  <c:v>Q3 - 2015</c:v>
                </c:pt>
                <c:pt idx="3">
                  <c:v>Q4 - 2015</c:v>
                </c:pt>
                <c:pt idx="4">
                  <c:v>Q1 - 2016</c:v>
                </c:pt>
              </c:strCache>
            </c:strRef>
          </c:cat>
          <c:val>
            <c:numRef>
              <c:f>'Fraud of Total Loan Origination'!$F$32:$J$32</c:f>
              <c:numCache>
                <c:formatCode>0.00%</c:formatCode>
                <c:ptCount val="5"/>
                <c:pt idx="0">
                  <c:v>2.5000000000000001E-3</c:v>
                </c:pt>
                <c:pt idx="1">
                  <c:v>2.5000000000000001E-3</c:v>
                </c:pt>
                <c:pt idx="2">
                  <c:v>2.5000000000000001E-3</c:v>
                </c:pt>
                <c:pt idx="3">
                  <c:v>2.5000000000000001E-3</c:v>
                </c:pt>
                <c:pt idx="4">
                  <c:v>2.5000000000000001E-3</c:v>
                </c:pt>
              </c:numCache>
            </c:numRef>
          </c:val>
          <c:smooth val="0"/>
        </c:ser>
        <c:ser>
          <c:idx val="2"/>
          <c:order val="2"/>
          <c:tx>
            <c:strRef>
              <c:f>'Fraud of Total Loan Origination'!$E$33</c:f>
              <c:strCache>
                <c:ptCount val="1"/>
                <c:pt idx="0">
                  <c:v>Red Limit</c:v>
                </c:pt>
              </c:strCache>
            </c:strRef>
          </c:tx>
          <c:spPr>
            <a:ln w="28575" cap="rnd">
              <a:solidFill>
                <a:srgbClr val="FF0000"/>
              </a:solidFill>
              <a:prstDash val="dash"/>
              <a:round/>
            </a:ln>
            <a:effectLst/>
          </c:spPr>
          <c:marker>
            <c:symbol val="none"/>
          </c:marker>
          <c:dLbls>
            <c:delete val="1"/>
          </c:dLbls>
          <c:cat>
            <c:strRef>
              <c:f>'Fraud of Total Loan Origination'!$F$2:$J$2</c:f>
              <c:strCache>
                <c:ptCount val="5"/>
                <c:pt idx="0">
                  <c:v>Q1 - 2015</c:v>
                </c:pt>
                <c:pt idx="1">
                  <c:v>Q2 - 2015</c:v>
                </c:pt>
                <c:pt idx="2">
                  <c:v>Q3 - 2015</c:v>
                </c:pt>
                <c:pt idx="3">
                  <c:v>Q4 - 2015</c:v>
                </c:pt>
                <c:pt idx="4">
                  <c:v>Q1 - 2016</c:v>
                </c:pt>
              </c:strCache>
            </c:strRef>
          </c:cat>
          <c:val>
            <c:numRef>
              <c:f>'Fraud of Total Loan Origination'!$F$33:$J$33</c:f>
              <c:numCache>
                <c:formatCode>0.00%</c:formatCode>
                <c:ptCount val="5"/>
                <c:pt idx="0">
                  <c:v>3.5000000000000001E-3</c:v>
                </c:pt>
                <c:pt idx="1">
                  <c:v>3.5000000000000001E-3</c:v>
                </c:pt>
                <c:pt idx="2">
                  <c:v>3.5000000000000001E-3</c:v>
                </c:pt>
                <c:pt idx="3">
                  <c:v>3.5000000000000001E-3</c:v>
                </c:pt>
                <c:pt idx="4">
                  <c:v>3.5000000000000001E-3</c:v>
                </c:pt>
              </c:numCache>
            </c:numRef>
          </c:val>
          <c:smooth val="0"/>
        </c:ser>
        <c:dLbls>
          <c:dLblPos val="t"/>
          <c:showLegendKey val="0"/>
          <c:showVal val="1"/>
          <c:showCatName val="0"/>
          <c:showSerName val="0"/>
          <c:showPercent val="0"/>
          <c:showBubbleSize val="0"/>
        </c:dLbls>
        <c:marker val="1"/>
        <c:smooth val="0"/>
        <c:axId val="499878912"/>
        <c:axId val="499880704"/>
      </c:lineChart>
      <c:catAx>
        <c:axId val="4998789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499880704"/>
        <c:crosses val="autoZero"/>
        <c:auto val="1"/>
        <c:lblAlgn val="ctr"/>
        <c:lblOffset val="100"/>
        <c:noMultiLvlLbl val="0"/>
      </c:catAx>
      <c:valAx>
        <c:axId val="499880704"/>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98789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orientation="portrait"/>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r>
              <a:rPr lang="en-US"/>
              <a:t>Relevant OR events R1 (number)</a:t>
            </a:r>
          </a:p>
        </c:rich>
      </c:tx>
      <c:layout>
        <c:manualLayout>
          <c:xMode val="edge"/>
          <c:yMode val="edge"/>
          <c:x val="0.44610736544314772"/>
          <c:y val="3.0075572572593433E-2"/>
        </c:manualLayout>
      </c:layout>
      <c:overlay val="0"/>
      <c:spPr>
        <a:noFill/>
        <a:ln>
          <a:noFill/>
        </a:ln>
        <a:effectLst/>
      </c:spPr>
    </c:title>
    <c:autoTitleDeleted val="0"/>
    <c:plotArea>
      <c:layout>
        <c:manualLayout>
          <c:layoutTarget val="inner"/>
          <c:xMode val="edge"/>
          <c:yMode val="edge"/>
          <c:x val="4.3226437604390364E-2"/>
          <c:y val="2.3367699491384539E-2"/>
          <c:w val="0.94667255229459957"/>
          <c:h val="0.83871365414240773"/>
        </c:manualLayout>
      </c:layout>
      <c:lineChart>
        <c:grouping val="standard"/>
        <c:varyColors val="0"/>
        <c:ser>
          <c:idx val="0"/>
          <c:order val="0"/>
          <c:tx>
            <c:strRef>
              <c:f>'OR R1'!$B$3</c:f>
              <c:strCache>
                <c:ptCount val="1"/>
                <c:pt idx="0">
                  <c:v>Relevant OR events R1 (number)</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noFill/>
                      <a:round/>
                    </a:ln>
                    <a:effectLst/>
                  </c:spPr>
                </c15:leaderLines>
              </c:ext>
            </c:extLst>
          </c:dLbls>
          <c:cat>
            <c:numRef>
              <c:f>'OR R1'!$F$2:$T$2</c:f>
              <c:numCache>
                <c:formatCode>mmm\-yy</c:formatCode>
                <c:ptCount val="15"/>
                <c:pt idx="0">
                  <c:v>42005</c:v>
                </c:pt>
                <c:pt idx="1">
                  <c:v>42036</c:v>
                </c:pt>
                <c:pt idx="2">
                  <c:v>42064</c:v>
                </c:pt>
                <c:pt idx="3">
                  <c:v>42095</c:v>
                </c:pt>
                <c:pt idx="4">
                  <c:v>42125</c:v>
                </c:pt>
                <c:pt idx="5">
                  <c:v>42156</c:v>
                </c:pt>
                <c:pt idx="6">
                  <c:v>42186</c:v>
                </c:pt>
                <c:pt idx="7">
                  <c:v>42217</c:v>
                </c:pt>
                <c:pt idx="8">
                  <c:v>42248</c:v>
                </c:pt>
                <c:pt idx="9">
                  <c:v>42278</c:v>
                </c:pt>
                <c:pt idx="10">
                  <c:v>42309</c:v>
                </c:pt>
                <c:pt idx="11">
                  <c:v>42339</c:v>
                </c:pt>
                <c:pt idx="12">
                  <c:v>42370</c:v>
                </c:pt>
                <c:pt idx="13">
                  <c:v>42401</c:v>
                </c:pt>
                <c:pt idx="14">
                  <c:v>42430</c:v>
                </c:pt>
              </c:numCache>
            </c:numRef>
          </c:cat>
          <c:val>
            <c:numRef>
              <c:f>'OR R1'!$F$3:$T$3</c:f>
              <c:numCache>
                <c:formatCode>0.00%</c:formatCode>
                <c:ptCount val="15"/>
                <c:pt idx="0">
                  <c:v>3.3018867924528301E-2</c:v>
                </c:pt>
                <c:pt idx="1">
                  <c:v>2.318840579710145E-2</c:v>
                </c:pt>
                <c:pt idx="2">
                  <c:v>2.1390374331550801E-2</c:v>
                </c:pt>
                <c:pt idx="3">
                  <c:v>2.056555269922879E-2</c:v>
                </c:pt>
                <c:pt idx="4">
                  <c:v>1.4778325123152709E-2</c:v>
                </c:pt>
                <c:pt idx="5">
                  <c:v>1.7456359102244388E-2</c:v>
                </c:pt>
                <c:pt idx="6">
                  <c:v>1.3333333333333334E-2</c:v>
                </c:pt>
                <c:pt idx="7">
                  <c:v>1.532567049808429E-2</c:v>
                </c:pt>
                <c:pt idx="8">
                  <c:v>1.1513157894736841E-2</c:v>
                </c:pt>
                <c:pt idx="9">
                  <c:v>5.763688760806916E-3</c:v>
                </c:pt>
                <c:pt idx="10">
                  <c:v>4.7393364928909956E-3</c:v>
                </c:pt>
                <c:pt idx="11">
                  <c:v>4.5454545454545452E-3</c:v>
                </c:pt>
                <c:pt idx="12">
                  <c:v>4.6893317702227429E-3</c:v>
                </c:pt>
                <c:pt idx="13">
                  <c:v>3.90625E-3</c:v>
                </c:pt>
                <c:pt idx="14">
                  <c:v>3.9735099337748344E-3</c:v>
                </c:pt>
              </c:numCache>
            </c:numRef>
          </c:val>
          <c:smooth val="0"/>
        </c:ser>
        <c:ser>
          <c:idx val="1"/>
          <c:order val="1"/>
          <c:tx>
            <c:strRef>
              <c:f>'OR R1'!$C$2</c:f>
              <c:strCache>
                <c:ptCount val="1"/>
                <c:pt idx="0">
                  <c:v>AMBER TRIGGER</c:v>
                </c:pt>
              </c:strCache>
            </c:strRef>
          </c:tx>
          <c:spPr>
            <a:ln w="28575" cap="rnd">
              <a:solidFill>
                <a:srgbClr val="FFC000"/>
              </a:solidFill>
              <a:prstDash val="sysDash"/>
              <a:round/>
            </a:ln>
            <a:effectLst/>
          </c:spPr>
          <c:marker>
            <c:symbol val="none"/>
          </c:marker>
          <c:dLbls>
            <c:delete val="1"/>
          </c:dLbls>
          <c:cat>
            <c:numRef>
              <c:f>'OR R1'!$F$2:$T$2</c:f>
              <c:numCache>
                <c:formatCode>mmm\-yy</c:formatCode>
                <c:ptCount val="15"/>
                <c:pt idx="0">
                  <c:v>42005</c:v>
                </c:pt>
                <c:pt idx="1">
                  <c:v>42036</c:v>
                </c:pt>
                <c:pt idx="2">
                  <c:v>42064</c:v>
                </c:pt>
                <c:pt idx="3">
                  <c:v>42095</c:v>
                </c:pt>
                <c:pt idx="4">
                  <c:v>42125</c:v>
                </c:pt>
                <c:pt idx="5">
                  <c:v>42156</c:v>
                </c:pt>
                <c:pt idx="6">
                  <c:v>42186</c:v>
                </c:pt>
                <c:pt idx="7">
                  <c:v>42217</c:v>
                </c:pt>
                <c:pt idx="8">
                  <c:v>42248</c:v>
                </c:pt>
                <c:pt idx="9">
                  <c:v>42278</c:v>
                </c:pt>
                <c:pt idx="10">
                  <c:v>42309</c:v>
                </c:pt>
                <c:pt idx="11">
                  <c:v>42339</c:v>
                </c:pt>
                <c:pt idx="12">
                  <c:v>42370</c:v>
                </c:pt>
                <c:pt idx="13">
                  <c:v>42401</c:v>
                </c:pt>
                <c:pt idx="14">
                  <c:v>42430</c:v>
                </c:pt>
              </c:numCache>
            </c:numRef>
          </c:cat>
          <c:val>
            <c:numRef>
              <c:f>'OR R1'!$F$32:$T$32</c:f>
              <c:numCache>
                <c:formatCode>0.00%</c:formatCode>
                <c:ptCount val="15"/>
                <c:pt idx="0">
                  <c:v>0.02</c:v>
                </c:pt>
                <c:pt idx="1">
                  <c:v>0.02</c:v>
                </c:pt>
                <c:pt idx="2">
                  <c:v>0.02</c:v>
                </c:pt>
                <c:pt idx="3">
                  <c:v>0.02</c:v>
                </c:pt>
                <c:pt idx="4">
                  <c:v>0.02</c:v>
                </c:pt>
                <c:pt idx="5">
                  <c:v>0.02</c:v>
                </c:pt>
                <c:pt idx="6">
                  <c:v>0.02</c:v>
                </c:pt>
                <c:pt idx="7">
                  <c:v>0.02</c:v>
                </c:pt>
                <c:pt idx="8">
                  <c:v>0.02</c:v>
                </c:pt>
                <c:pt idx="9">
                  <c:v>0.02</c:v>
                </c:pt>
                <c:pt idx="10">
                  <c:v>0.02</c:v>
                </c:pt>
                <c:pt idx="11">
                  <c:v>0.02</c:v>
                </c:pt>
                <c:pt idx="12">
                  <c:v>0.02</c:v>
                </c:pt>
                <c:pt idx="13">
                  <c:v>0.02</c:v>
                </c:pt>
                <c:pt idx="14">
                  <c:v>0.02</c:v>
                </c:pt>
              </c:numCache>
            </c:numRef>
          </c:val>
          <c:smooth val="0"/>
        </c:ser>
        <c:ser>
          <c:idx val="2"/>
          <c:order val="2"/>
          <c:tx>
            <c:strRef>
              <c:f>'OR R1'!$D$2</c:f>
              <c:strCache>
                <c:ptCount val="1"/>
                <c:pt idx="0">
                  <c:v>RED LIMIT</c:v>
                </c:pt>
              </c:strCache>
            </c:strRef>
          </c:tx>
          <c:spPr>
            <a:ln w="28575" cap="rnd">
              <a:solidFill>
                <a:srgbClr val="FF0000"/>
              </a:solidFill>
              <a:prstDash val="dash"/>
              <a:round/>
            </a:ln>
            <a:effectLst/>
          </c:spPr>
          <c:marker>
            <c:symbol val="none"/>
          </c:marker>
          <c:dLbls>
            <c:delete val="1"/>
          </c:dLbls>
          <c:cat>
            <c:numRef>
              <c:f>'OR R1'!$F$2:$T$2</c:f>
              <c:numCache>
                <c:formatCode>mmm\-yy</c:formatCode>
                <c:ptCount val="15"/>
                <c:pt idx="0">
                  <c:v>42005</c:v>
                </c:pt>
                <c:pt idx="1">
                  <c:v>42036</c:v>
                </c:pt>
                <c:pt idx="2">
                  <c:v>42064</c:v>
                </c:pt>
                <c:pt idx="3">
                  <c:v>42095</c:v>
                </c:pt>
                <c:pt idx="4">
                  <c:v>42125</c:v>
                </c:pt>
                <c:pt idx="5">
                  <c:v>42156</c:v>
                </c:pt>
                <c:pt idx="6">
                  <c:v>42186</c:v>
                </c:pt>
                <c:pt idx="7">
                  <c:v>42217</c:v>
                </c:pt>
                <c:pt idx="8">
                  <c:v>42248</c:v>
                </c:pt>
                <c:pt idx="9">
                  <c:v>42278</c:v>
                </c:pt>
                <c:pt idx="10">
                  <c:v>42309</c:v>
                </c:pt>
                <c:pt idx="11">
                  <c:v>42339</c:v>
                </c:pt>
                <c:pt idx="12">
                  <c:v>42370</c:v>
                </c:pt>
                <c:pt idx="13">
                  <c:v>42401</c:v>
                </c:pt>
                <c:pt idx="14">
                  <c:v>42430</c:v>
                </c:pt>
              </c:numCache>
            </c:numRef>
          </c:cat>
          <c:val>
            <c:numRef>
              <c:f>'OR R1'!$F$33:$T$33</c:f>
              <c:numCache>
                <c:formatCode>0.00%</c:formatCode>
                <c:ptCount val="15"/>
                <c:pt idx="0">
                  <c:v>0.03</c:v>
                </c:pt>
                <c:pt idx="1">
                  <c:v>0.03</c:v>
                </c:pt>
                <c:pt idx="2">
                  <c:v>0.03</c:v>
                </c:pt>
                <c:pt idx="3">
                  <c:v>0.03</c:v>
                </c:pt>
                <c:pt idx="4">
                  <c:v>0.03</c:v>
                </c:pt>
                <c:pt idx="5">
                  <c:v>0.03</c:v>
                </c:pt>
                <c:pt idx="6">
                  <c:v>0.03</c:v>
                </c:pt>
                <c:pt idx="7">
                  <c:v>0.03</c:v>
                </c:pt>
                <c:pt idx="8">
                  <c:v>0.03</c:v>
                </c:pt>
                <c:pt idx="9">
                  <c:v>0.03</c:v>
                </c:pt>
                <c:pt idx="10">
                  <c:v>0.03</c:v>
                </c:pt>
                <c:pt idx="11">
                  <c:v>0.03</c:v>
                </c:pt>
                <c:pt idx="12">
                  <c:v>0.03</c:v>
                </c:pt>
                <c:pt idx="13">
                  <c:v>0.03</c:v>
                </c:pt>
                <c:pt idx="14">
                  <c:v>0.03</c:v>
                </c:pt>
              </c:numCache>
            </c:numRef>
          </c:val>
          <c:smooth val="0"/>
        </c:ser>
        <c:dLbls>
          <c:dLblPos val="t"/>
          <c:showLegendKey val="0"/>
          <c:showVal val="1"/>
          <c:showCatName val="0"/>
          <c:showSerName val="0"/>
          <c:showPercent val="0"/>
          <c:showBubbleSize val="0"/>
        </c:dLbls>
        <c:marker val="1"/>
        <c:smooth val="0"/>
        <c:axId val="500268416"/>
        <c:axId val="500290688"/>
      </c:lineChart>
      <c:dateAx>
        <c:axId val="500268416"/>
        <c:scaling>
          <c:orientation val="minMax"/>
        </c:scaling>
        <c:delete val="0"/>
        <c:axPos val="b"/>
        <c:numFmt formatCode="mmm\-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500290688"/>
        <c:crosses val="autoZero"/>
        <c:auto val="1"/>
        <c:lblOffset val="100"/>
        <c:baseTimeUnit val="months"/>
      </c:dateAx>
      <c:valAx>
        <c:axId val="500290688"/>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02684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orientation="portrait"/>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Tangible Common Equity Ratio</a:t>
            </a:r>
            <a:r>
              <a:rPr lang="en-US" sz="1400" b="0" i="0" u="none" strike="noStrike" baseline="0"/>
              <a:t> </a:t>
            </a:r>
            <a:endParaRPr lang="en-US" b="0"/>
          </a:p>
        </c:rich>
      </c:tx>
      <c:overlay val="0"/>
      <c:spPr>
        <a:noFill/>
        <a:ln>
          <a:noFill/>
        </a:ln>
        <a:effectLst/>
      </c:spPr>
    </c:title>
    <c:autoTitleDeleted val="0"/>
    <c:plotArea>
      <c:layout>
        <c:manualLayout>
          <c:layoutTarget val="inner"/>
          <c:xMode val="edge"/>
          <c:yMode val="edge"/>
          <c:x val="0.1235052400364848"/>
          <c:y val="0.1874465811965812"/>
          <c:w val="0.85580918076729762"/>
          <c:h val="0.57511482939632541"/>
        </c:manualLayout>
      </c:layout>
      <c:lineChart>
        <c:grouping val="standard"/>
        <c:varyColors val="0"/>
        <c:ser>
          <c:idx val="0"/>
          <c:order val="0"/>
          <c:tx>
            <c:strRef>
              <c:f>TCE!$B$5</c:f>
              <c:strCache>
                <c:ptCount val="1"/>
                <c:pt idx="0">
                  <c:v>Tangible Common Equity Ratio</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TCE!$G$2:$U$2</c:f>
              <c:numCache>
                <c:formatCode>mmm\-yy</c:formatCode>
                <c:ptCount val="15"/>
                <c:pt idx="0">
                  <c:v>42005</c:v>
                </c:pt>
                <c:pt idx="1">
                  <c:v>42036</c:v>
                </c:pt>
                <c:pt idx="2">
                  <c:v>42064</c:v>
                </c:pt>
                <c:pt idx="3">
                  <c:v>42095</c:v>
                </c:pt>
                <c:pt idx="4">
                  <c:v>42125</c:v>
                </c:pt>
                <c:pt idx="5">
                  <c:v>42156</c:v>
                </c:pt>
                <c:pt idx="6">
                  <c:v>42186</c:v>
                </c:pt>
                <c:pt idx="7">
                  <c:v>42217</c:v>
                </c:pt>
                <c:pt idx="8">
                  <c:v>42248</c:v>
                </c:pt>
                <c:pt idx="9">
                  <c:v>42278</c:v>
                </c:pt>
                <c:pt idx="10">
                  <c:v>42309</c:v>
                </c:pt>
                <c:pt idx="11">
                  <c:v>42339</c:v>
                </c:pt>
                <c:pt idx="12">
                  <c:v>42370</c:v>
                </c:pt>
                <c:pt idx="13">
                  <c:v>42401</c:v>
                </c:pt>
                <c:pt idx="14">
                  <c:v>42430</c:v>
                </c:pt>
              </c:numCache>
            </c:numRef>
          </c:cat>
          <c:val>
            <c:numRef>
              <c:f>TCE!$G$5:$U$5</c:f>
              <c:numCache>
                <c:formatCode>0.00%</c:formatCode>
                <c:ptCount val="15"/>
                <c:pt idx="0">
                  <c:v>0.10725729749624967</c:v>
                </c:pt>
                <c:pt idx="1">
                  <c:v>0.10904901803781981</c:v>
                </c:pt>
                <c:pt idx="2">
                  <c:v>0.1077897502425175</c:v>
                </c:pt>
                <c:pt idx="3">
                  <c:v>0.1119466757909255</c:v>
                </c:pt>
                <c:pt idx="4">
                  <c:v>0.11367464692128174</c:v>
                </c:pt>
                <c:pt idx="5">
                  <c:v>0.11466158880716325</c:v>
                </c:pt>
                <c:pt idx="6">
                  <c:v>0.1133531803211823</c:v>
                </c:pt>
                <c:pt idx="7">
                  <c:v>0.11297921575157346</c:v>
                </c:pt>
                <c:pt idx="8">
                  <c:v>0.11803300898321073</c:v>
                </c:pt>
                <c:pt idx="9">
                  <c:v>0.11909587440028992</c:v>
                </c:pt>
                <c:pt idx="10">
                  <c:v>0.12316183824060291</c:v>
                </c:pt>
                <c:pt idx="11">
                  <c:v>0.11842588536737722</c:v>
                </c:pt>
                <c:pt idx="12">
                  <c:v>0.11608319076613692</c:v>
                </c:pt>
                <c:pt idx="13">
                  <c:v>0.11800956762138226</c:v>
                </c:pt>
                <c:pt idx="14">
                  <c:v>0.11881822980992597</c:v>
                </c:pt>
              </c:numCache>
            </c:numRef>
          </c:val>
          <c:smooth val="0"/>
        </c:ser>
        <c:ser>
          <c:idx val="1"/>
          <c:order val="1"/>
          <c:tx>
            <c:strRef>
              <c:f>TCE!$F$37</c:f>
              <c:strCache>
                <c:ptCount val="1"/>
                <c:pt idx="0">
                  <c:v>Amber Trigger</c:v>
                </c:pt>
              </c:strCache>
            </c:strRef>
          </c:tx>
          <c:spPr>
            <a:ln w="28575" cap="rnd">
              <a:solidFill>
                <a:srgbClr val="FFC000"/>
              </a:solidFill>
              <a:prstDash val="sysDash"/>
              <a:round/>
            </a:ln>
            <a:effectLst/>
          </c:spPr>
          <c:marker>
            <c:symbol val="none"/>
          </c:marker>
          <c:dLbls>
            <c:delete val="1"/>
          </c:dLbls>
          <c:cat>
            <c:numRef>
              <c:f>TCE!$G$2:$U$2</c:f>
              <c:numCache>
                <c:formatCode>mmm\-yy</c:formatCode>
                <c:ptCount val="15"/>
                <c:pt idx="0">
                  <c:v>42005</c:v>
                </c:pt>
                <c:pt idx="1">
                  <c:v>42036</c:v>
                </c:pt>
                <c:pt idx="2">
                  <c:v>42064</c:v>
                </c:pt>
                <c:pt idx="3">
                  <c:v>42095</c:v>
                </c:pt>
                <c:pt idx="4">
                  <c:v>42125</c:v>
                </c:pt>
                <c:pt idx="5">
                  <c:v>42156</c:v>
                </c:pt>
                <c:pt idx="6">
                  <c:v>42186</c:v>
                </c:pt>
                <c:pt idx="7">
                  <c:v>42217</c:v>
                </c:pt>
                <c:pt idx="8">
                  <c:v>42248</c:v>
                </c:pt>
                <c:pt idx="9">
                  <c:v>42278</c:v>
                </c:pt>
                <c:pt idx="10">
                  <c:v>42309</c:v>
                </c:pt>
                <c:pt idx="11">
                  <c:v>42339</c:v>
                </c:pt>
                <c:pt idx="12">
                  <c:v>42370</c:v>
                </c:pt>
                <c:pt idx="13">
                  <c:v>42401</c:v>
                </c:pt>
                <c:pt idx="14">
                  <c:v>42430</c:v>
                </c:pt>
              </c:numCache>
            </c:numRef>
          </c:cat>
          <c:val>
            <c:numRef>
              <c:f>TCE!$G$37:$U$37</c:f>
              <c:numCache>
                <c:formatCode>0.00%</c:formatCode>
                <c:ptCount val="15"/>
                <c:pt idx="0">
                  <c:v>0.115</c:v>
                </c:pt>
                <c:pt idx="1">
                  <c:v>0.115</c:v>
                </c:pt>
                <c:pt idx="2">
                  <c:v>0.115</c:v>
                </c:pt>
                <c:pt idx="3">
                  <c:v>0.115</c:v>
                </c:pt>
                <c:pt idx="4">
                  <c:v>0.115</c:v>
                </c:pt>
                <c:pt idx="5">
                  <c:v>0.115</c:v>
                </c:pt>
                <c:pt idx="6">
                  <c:v>0.115</c:v>
                </c:pt>
                <c:pt idx="7">
                  <c:v>0.115</c:v>
                </c:pt>
                <c:pt idx="8">
                  <c:v>0.115</c:v>
                </c:pt>
                <c:pt idx="9">
                  <c:v>0.115</c:v>
                </c:pt>
                <c:pt idx="10">
                  <c:v>0.115</c:v>
                </c:pt>
                <c:pt idx="11">
                  <c:v>0.115</c:v>
                </c:pt>
                <c:pt idx="12">
                  <c:v>0.115</c:v>
                </c:pt>
                <c:pt idx="13">
                  <c:v>0.115</c:v>
                </c:pt>
                <c:pt idx="14">
                  <c:v>0.115</c:v>
                </c:pt>
              </c:numCache>
            </c:numRef>
          </c:val>
          <c:smooth val="0"/>
        </c:ser>
        <c:ser>
          <c:idx val="2"/>
          <c:order val="2"/>
          <c:tx>
            <c:strRef>
              <c:f>TCE!$F$38</c:f>
              <c:strCache>
                <c:ptCount val="1"/>
                <c:pt idx="0">
                  <c:v>Red Limit</c:v>
                </c:pt>
              </c:strCache>
            </c:strRef>
          </c:tx>
          <c:spPr>
            <a:ln w="28575" cap="rnd">
              <a:solidFill>
                <a:srgbClr val="FF0000"/>
              </a:solidFill>
              <a:prstDash val="dash"/>
              <a:round/>
            </a:ln>
            <a:effectLst/>
          </c:spPr>
          <c:marker>
            <c:symbol val="none"/>
          </c:marker>
          <c:dLbls>
            <c:delete val="1"/>
          </c:dLbls>
          <c:cat>
            <c:numRef>
              <c:f>TCE!$G$2:$U$2</c:f>
              <c:numCache>
                <c:formatCode>mmm\-yy</c:formatCode>
                <c:ptCount val="15"/>
                <c:pt idx="0">
                  <c:v>42005</c:v>
                </c:pt>
                <c:pt idx="1">
                  <c:v>42036</c:v>
                </c:pt>
                <c:pt idx="2">
                  <c:v>42064</c:v>
                </c:pt>
                <c:pt idx="3">
                  <c:v>42095</c:v>
                </c:pt>
                <c:pt idx="4">
                  <c:v>42125</c:v>
                </c:pt>
                <c:pt idx="5">
                  <c:v>42156</c:v>
                </c:pt>
                <c:pt idx="6">
                  <c:v>42186</c:v>
                </c:pt>
                <c:pt idx="7">
                  <c:v>42217</c:v>
                </c:pt>
                <c:pt idx="8">
                  <c:v>42248</c:v>
                </c:pt>
                <c:pt idx="9">
                  <c:v>42278</c:v>
                </c:pt>
                <c:pt idx="10">
                  <c:v>42309</c:v>
                </c:pt>
                <c:pt idx="11">
                  <c:v>42339</c:v>
                </c:pt>
                <c:pt idx="12">
                  <c:v>42370</c:v>
                </c:pt>
                <c:pt idx="13">
                  <c:v>42401</c:v>
                </c:pt>
                <c:pt idx="14">
                  <c:v>42430</c:v>
                </c:pt>
              </c:numCache>
            </c:numRef>
          </c:cat>
          <c:val>
            <c:numRef>
              <c:f>TCE!$G$38:$U$38</c:f>
              <c:numCache>
                <c:formatCode>0.00%</c:formatCode>
                <c:ptCount val="15"/>
                <c:pt idx="0">
                  <c:v>0.10249999999999999</c:v>
                </c:pt>
                <c:pt idx="1">
                  <c:v>0.10249999999999999</c:v>
                </c:pt>
                <c:pt idx="2">
                  <c:v>0.10249999999999999</c:v>
                </c:pt>
                <c:pt idx="3">
                  <c:v>0.10249999999999999</c:v>
                </c:pt>
                <c:pt idx="4">
                  <c:v>0.10249999999999999</c:v>
                </c:pt>
                <c:pt idx="5">
                  <c:v>0.10249999999999999</c:v>
                </c:pt>
                <c:pt idx="6">
                  <c:v>0.10249999999999999</c:v>
                </c:pt>
                <c:pt idx="7">
                  <c:v>0.10249999999999999</c:v>
                </c:pt>
                <c:pt idx="8">
                  <c:v>0.10249999999999999</c:v>
                </c:pt>
                <c:pt idx="9">
                  <c:v>0.10249999999999999</c:v>
                </c:pt>
                <c:pt idx="10">
                  <c:v>0.10249999999999999</c:v>
                </c:pt>
                <c:pt idx="11">
                  <c:v>0.10249999999999999</c:v>
                </c:pt>
                <c:pt idx="12">
                  <c:v>0.10249999999999999</c:v>
                </c:pt>
                <c:pt idx="13">
                  <c:v>0.10249999999999999</c:v>
                </c:pt>
                <c:pt idx="14">
                  <c:v>0.10249999999999999</c:v>
                </c:pt>
              </c:numCache>
            </c:numRef>
          </c:val>
          <c:smooth val="0"/>
        </c:ser>
        <c:dLbls>
          <c:dLblPos val="t"/>
          <c:showLegendKey val="0"/>
          <c:showVal val="1"/>
          <c:showCatName val="0"/>
          <c:showSerName val="0"/>
          <c:showPercent val="0"/>
          <c:showBubbleSize val="0"/>
        </c:dLbls>
        <c:marker val="1"/>
        <c:smooth val="0"/>
        <c:axId val="475711744"/>
        <c:axId val="476616192"/>
      </c:lineChart>
      <c:dateAx>
        <c:axId val="475711744"/>
        <c:scaling>
          <c:orientation val="minMax"/>
        </c:scaling>
        <c:delete val="0"/>
        <c:axPos val="b"/>
        <c:numFmt formatCode="mmm\-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6616192"/>
        <c:crosses val="autoZero"/>
        <c:auto val="1"/>
        <c:lblOffset val="100"/>
        <c:baseTimeUnit val="months"/>
      </c:dateAx>
      <c:valAx>
        <c:axId val="476616192"/>
        <c:scaling>
          <c:orientation val="minMax"/>
          <c:min val="8.500000000000002E-2"/>
        </c:scaling>
        <c:delete val="0"/>
        <c:axPos val="l"/>
        <c:majorGridlines>
          <c:spPr>
            <a:ln w="9525" cap="flat" cmpd="sng" algn="ctr">
              <a:solidFill>
                <a:schemeClr val="tx1">
                  <a:lumMod val="15000"/>
                  <a:lumOff val="85000"/>
                </a:schemeClr>
              </a:solidFill>
              <a:round/>
            </a:ln>
            <a:effectLst/>
          </c:spPr>
        </c:majorGridlines>
        <c:numFmt formatCode="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5711744"/>
        <c:crosses val="autoZero"/>
        <c:crossBetween val="between"/>
      </c:valAx>
      <c:spPr>
        <a:noFill/>
        <a:ln>
          <a:noFill/>
        </a:ln>
        <a:effectLst/>
      </c:spPr>
    </c:plotArea>
    <c:legend>
      <c:legendPos val="b"/>
      <c:layout>
        <c:manualLayout>
          <c:xMode val="edge"/>
          <c:yMode val="edge"/>
          <c:x val="1.2305941810465182E-2"/>
          <c:y val="0.90361600818448218"/>
          <c:w val="0.96968939220556127"/>
          <c:h val="9.6383991815517669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Net Residual Value Exposure</a:t>
            </a:r>
            <a:endParaRPr lang="en-US" b="0"/>
          </a:p>
        </c:rich>
      </c:tx>
      <c:overlay val="0"/>
      <c:spPr>
        <a:noFill/>
        <a:ln>
          <a:noFill/>
        </a:ln>
        <a:effectLst/>
      </c:spPr>
    </c:title>
    <c:autoTitleDeleted val="0"/>
    <c:plotArea>
      <c:layout/>
      <c:lineChart>
        <c:grouping val="standard"/>
        <c:varyColors val="0"/>
        <c:ser>
          <c:idx val="0"/>
          <c:order val="0"/>
          <c:tx>
            <c:strRef>
              <c:f>Residual!$B$5</c:f>
              <c:strCache>
                <c:ptCount val="1"/>
                <c:pt idx="0">
                  <c:v>Net Residual Value Exposure</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Residual!$G$2:$U$2</c:f>
              <c:numCache>
                <c:formatCode>mmm\-yy</c:formatCode>
                <c:ptCount val="15"/>
                <c:pt idx="0">
                  <c:v>42005</c:v>
                </c:pt>
                <c:pt idx="1">
                  <c:v>42036</c:v>
                </c:pt>
                <c:pt idx="2">
                  <c:v>42064</c:v>
                </c:pt>
                <c:pt idx="3">
                  <c:v>42095</c:v>
                </c:pt>
                <c:pt idx="4">
                  <c:v>42125</c:v>
                </c:pt>
                <c:pt idx="5">
                  <c:v>42156</c:v>
                </c:pt>
                <c:pt idx="6">
                  <c:v>42186</c:v>
                </c:pt>
                <c:pt idx="7">
                  <c:v>42217</c:v>
                </c:pt>
                <c:pt idx="8">
                  <c:v>42248</c:v>
                </c:pt>
                <c:pt idx="9">
                  <c:v>42278</c:v>
                </c:pt>
                <c:pt idx="10">
                  <c:v>42309</c:v>
                </c:pt>
                <c:pt idx="11">
                  <c:v>42339</c:v>
                </c:pt>
                <c:pt idx="12">
                  <c:v>42370</c:v>
                </c:pt>
                <c:pt idx="13">
                  <c:v>42401</c:v>
                </c:pt>
                <c:pt idx="14">
                  <c:v>42430</c:v>
                </c:pt>
              </c:numCache>
            </c:numRef>
          </c:cat>
          <c:val>
            <c:numRef>
              <c:f>Residual!$G$5:$U$5</c:f>
              <c:numCache>
                <c:formatCode>0.00%</c:formatCode>
                <c:ptCount val="15"/>
                <c:pt idx="0">
                  <c:v>-7.2971829836928409E-3</c:v>
                </c:pt>
                <c:pt idx="1">
                  <c:v>-1.0724555463280088E-2</c:v>
                </c:pt>
                <c:pt idx="2">
                  <c:v>-8.3207430384895833E-3</c:v>
                </c:pt>
                <c:pt idx="3">
                  <c:v>-8.4701297675488924E-3</c:v>
                </c:pt>
                <c:pt idx="4">
                  <c:v>-4.2605196873267762E-3</c:v>
                </c:pt>
                <c:pt idx="5">
                  <c:v>2.323292256440521E-3</c:v>
                </c:pt>
                <c:pt idx="6">
                  <c:v>1.0869554987408684E-2</c:v>
                </c:pt>
                <c:pt idx="7">
                  <c:v>1.2561586922846334E-2</c:v>
                </c:pt>
                <c:pt idx="8">
                  <c:v>1.5917669885399447E-2</c:v>
                </c:pt>
                <c:pt idx="9">
                  <c:v>1.4296329142482953E-2</c:v>
                </c:pt>
                <c:pt idx="10">
                  <c:v>1.5115476238066812E-2</c:v>
                </c:pt>
                <c:pt idx="11">
                  <c:v>1.5456657825826801E-2</c:v>
                </c:pt>
                <c:pt idx="12">
                  <c:v>1.8429947679486046E-2</c:v>
                </c:pt>
                <c:pt idx="13">
                  <c:v>2.0287752674187729E-2</c:v>
                </c:pt>
                <c:pt idx="14">
                  <c:v>2.2592896440631397E-2</c:v>
                </c:pt>
              </c:numCache>
            </c:numRef>
          </c:val>
          <c:smooth val="0"/>
        </c:ser>
        <c:ser>
          <c:idx val="1"/>
          <c:order val="1"/>
          <c:tx>
            <c:strRef>
              <c:f>Residual!$F$33</c:f>
              <c:strCache>
                <c:ptCount val="1"/>
                <c:pt idx="0">
                  <c:v>Amber Trigger</c:v>
                </c:pt>
              </c:strCache>
            </c:strRef>
          </c:tx>
          <c:spPr>
            <a:ln w="28575" cap="rnd">
              <a:solidFill>
                <a:srgbClr val="FFC000"/>
              </a:solidFill>
              <a:prstDash val="sysDash"/>
              <a:round/>
            </a:ln>
            <a:effectLst/>
          </c:spPr>
          <c:marker>
            <c:symbol val="none"/>
          </c:marker>
          <c:dLbls>
            <c:delete val="1"/>
          </c:dLbls>
          <c:cat>
            <c:numRef>
              <c:f>Residual!$G$2:$U$2</c:f>
              <c:numCache>
                <c:formatCode>mmm\-yy</c:formatCode>
                <c:ptCount val="15"/>
                <c:pt idx="0">
                  <c:v>42005</c:v>
                </c:pt>
                <c:pt idx="1">
                  <c:v>42036</c:v>
                </c:pt>
                <c:pt idx="2">
                  <c:v>42064</c:v>
                </c:pt>
                <c:pt idx="3">
                  <c:v>42095</c:v>
                </c:pt>
                <c:pt idx="4">
                  <c:v>42125</c:v>
                </c:pt>
                <c:pt idx="5">
                  <c:v>42156</c:v>
                </c:pt>
                <c:pt idx="6">
                  <c:v>42186</c:v>
                </c:pt>
                <c:pt idx="7">
                  <c:v>42217</c:v>
                </c:pt>
                <c:pt idx="8">
                  <c:v>42248</c:v>
                </c:pt>
                <c:pt idx="9">
                  <c:v>42278</c:v>
                </c:pt>
                <c:pt idx="10">
                  <c:v>42309</c:v>
                </c:pt>
                <c:pt idx="11">
                  <c:v>42339</c:v>
                </c:pt>
                <c:pt idx="12">
                  <c:v>42370</c:v>
                </c:pt>
                <c:pt idx="13">
                  <c:v>42401</c:v>
                </c:pt>
                <c:pt idx="14">
                  <c:v>42430</c:v>
                </c:pt>
              </c:numCache>
            </c:numRef>
          </c:cat>
          <c:val>
            <c:numRef>
              <c:f>Residual!$G$33:$U$33</c:f>
              <c:numCache>
                <c:formatCode>0.00%</c:formatCode>
                <c:ptCount val="15"/>
                <c:pt idx="0">
                  <c:v>-0.05</c:v>
                </c:pt>
                <c:pt idx="1">
                  <c:v>-0.05</c:v>
                </c:pt>
                <c:pt idx="2">
                  <c:v>-0.05</c:v>
                </c:pt>
                <c:pt idx="3">
                  <c:v>-0.05</c:v>
                </c:pt>
                <c:pt idx="4">
                  <c:v>-0.05</c:v>
                </c:pt>
                <c:pt idx="5">
                  <c:v>-0.05</c:v>
                </c:pt>
                <c:pt idx="6">
                  <c:v>-0.05</c:v>
                </c:pt>
                <c:pt idx="7">
                  <c:v>-0.05</c:v>
                </c:pt>
                <c:pt idx="8">
                  <c:v>-0.05</c:v>
                </c:pt>
                <c:pt idx="9">
                  <c:v>-0.05</c:v>
                </c:pt>
                <c:pt idx="10">
                  <c:v>-0.05</c:v>
                </c:pt>
                <c:pt idx="11">
                  <c:v>-0.05</c:v>
                </c:pt>
                <c:pt idx="12">
                  <c:v>-0.05</c:v>
                </c:pt>
                <c:pt idx="13">
                  <c:v>-0.05</c:v>
                </c:pt>
                <c:pt idx="14">
                  <c:v>-0.05</c:v>
                </c:pt>
              </c:numCache>
            </c:numRef>
          </c:val>
          <c:smooth val="0"/>
        </c:ser>
        <c:ser>
          <c:idx val="2"/>
          <c:order val="2"/>
          <c:tx>
            <c:strRef>
              <c:f>Residual!$F$34</c:f>
              <c:strCache>
                <c:ptCount val="1"/>
                <c:pt idx="0">
                  <c:v>Red Limit</c:v>
                </c:pt>
              </c:strCache>
            </c:strRef>
          </c:tx>
          <c:spPr>
            <a:ln w="28575" cap="rnd">
              <a:solidFill>
                <a:srgbClr val="FF0000"/>
              </a:solidFill>
              <a:prstDash val="dash"/>
              <a:round/>
            </a:ln>
            <a:effectLst/>
          </c:spPr>
          <c:marker>
            <c:symbol val="none"/>
          </c:marker>
          <c:dLbls>
            <c:delete val="1"/>
          </c:dLbls>
          <c:cat>
            <c:numRef>
              <c:f>Residual!$G$2:$U$2</c:f>
              <c:numCache>
                <c:formatCode>mmm\-yy</c:formatCode>
                <c:ptCount val="15"/>
                <c:pt idx="0">
                  <c:v>42005</c:v>
                </c:pt>
                <c:pt idx="1">
                  <c:v>42036</c:v>
                </c:pt>
                <c:pt idx="2">
                  <c:v>42064</c:v>
                </c:pt>
                <c:pt idx="3">
                  <c:v>42095</c:v>
                </c:pt>
                <c:pt idx="4">
                  <c:v>42125</c:v>
                </c:pt>
                <c:pt idx="5">
                  <c:v>42156</c:v>
                </c:pt>
                <c:pt idx="6">
                  <c:v>42186</c:v>
                </c:pt>
                <c:pt idx="7">
                  <c:v>42217</c:v>
                </c:pt>
                <c:pt idx="8">
                  <c:v>42248</c:v>
                </c:pt>
                <c:pt idx="9">
                  <c:v>42278</c:v>
                </c:pt>
                <c:pt idx="10">
                  <c:v>42309</c:v>
                </c:pt>
                <c:pt idx="11">
                  <c:v>42339</c:v>
                </c:pt>
                <c:pt idx="12">
                  <c:v>42370</c:v>
                </c:pt>
                <c:pt idx="13">
                  <c:v>42401</c:v>
                </c:pt>
                <c:pt idx="14">
                  <c:v>42430</c:v>
                </c:pt>
              </c:numCache>
            </c:numRef>
          </c:cat>
          <c:val>
            <c:numRef>
              <c:f>Residual!$G$34:$U$34</c:f>
              <c:numCache>
                <c:formatCode>0.00%</c:formatCode>
                <c:ptCount val="15"/>
                <c:pt idx="0">
                  <c:v>-0.09</c:v>
                </c:pt>
                <c:pt idx="1">
                  <c:v>-0.09</c:v>
                </c:pt>
                <c:pt idx="2">
                  <c:v>-0.09</c:v>
                </c:pt>
                <c:pt idx="3">
                  <c:v>-0.09</c:v>
                </c:pt>
                <c:pt idx="4">
                  <c:v>-0.09</c:v>
                </c:pt>
                <c:pt idx="5">
                  <c:v>-0.09</c:v>
                </c:pt>
                <c:pt idx="6">
                  <c:v>-0.09</c:v>
                </c:pt>
                <c:pt idx="7">
                  <c:v>-0.09</c:v>
                </c:pt>
                <c:pt idx="8">
                  <c:v>-0.09</c:v>
                </c:pt>
                <c:pt idx="9">
                  <c:v>-0.09</c:v>
                </c:pt>
                <c:pt idx="10">
                  <c:v>-0.09</c:v>
                </c:pt>
                <c:pt idx="11">
                  <c:v>-0.09</c:v>
                </c:pt>
                <c:pt idx="12">
                  <c:v>-0.09</c:v>
                </c:pt>
                <c:pt idx="13">
                  <c:v>-0.09</c:v>
                </c:pt>
                <c:pt idx="14">
                  <c:v>-0.09</c:v>
                </c:pt>
              </c:numCache>
            </c:numRef>
          </c:val>
          <c:smooth val="0"/>
        </c:ser>
        <c:dLbls>
          <c:dLblPos val="t"/>
          <c:showLegendKey val="0"/>
          <c:showVal val="1"/>
          <c:showCatName val="0"/>
          <c:showSerName val="0"/>
          <c:showPercent val="0"/>
          <c:showBubbleSize val="0"/>
        </c:dLbls>
        <c:marker val="1"/>
        <c:smooth val="0"/>
        <c:axId val="477161344"/>
        <c:axId val="477162880"/>
      </c:lineChart>
      <c:dateAx>
        <c:axId val="477161344"/>
        <c:scaling>
          <c:orientation val="minMax"/>
        </c:scaling>
        <c:delete val="0"/>
        <c:axPos val="b"/>
        <c:numFmt formatCode="mmm\-yy" sourceLinked="1"/>
        <c:majorTickMark val="out"/>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7162880"/>
        <c:crosses val="autoZero"/>
        <c:auto val="1"/>
        <c:lblOffset val="100"/>
        <c:baseTimeUnit val="months"/>
      </c:dateAx>
      <c:valAx>
        <c:axId val="47716288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71613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Structural</a:t>
            </a:r>
            <a:r>
              <a:rPr lang="en-US" baseline="0"/>
              <a:t> Funding Ratio</a:t>
            </a:r>
            <a:endParaRPr lang="en-US"/>
          </a:p>
        </c:rich>
      </c:tx>
      <c:overlay val="0"/>
      <c:spPr>
        <a:noFill/>
        <a:ln>
          <a:noFill/>
        </a:ln>
        <a:effectLst/>
      </c:spPr>
    </c:title>
    <c:autoTitleDeleted val="0"/>
    <c:plotArea>
      <c:layout/>
      <c:lineChart>
        <c:grouping val="standard"/>
        <c:varyColors val="0"/>
        <c:ser>
          <c:idx val="0"/>
          <c:order val="0"/>
          <c:tx>
            <c:strRef>
              <c:f>SFR!$B$5</c:f>
              <c:strCache>
                <c:ptCount val="1"/>
                <c:pt idx="0">
                  <c:v>Structural Funding Ratio</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noFill/>
                      <a:round/>
                    </a:ln>
                    <a:effectLst/>
                  </c:spPr>
                </c15:leaderLines>
              </c:ext>
            </c:extLst>
          </c:dLbls>
          <c:cat>
            <c:numRef>
              <c:f>SFR!$G$2:$U$2</c:f>
              <c:numCache>
                <c:formatCode>mmm\-yy</c:formatCode>
                <c:ptCount val="15"/>
                <c:pt idx="0">
                  <c:v>42005</c:v>
                </c:pt>
                <c:pt idx="1">
                  <c:v>42036</c:v>
                </c:pt>
                <c:pt idx="2">
                  <c:v>42064</c:v>
                </c:pt>
                <c:pt idx="3">
                  <c:v>42095</c:v>
                </c:pt>
                <c:pt idx="4">
                  <c:v>42125</c:v>
                </c:pt>
                <c:pt idx="5">
                  <c:v>42156</c:v>
                </c:pt>
                <c:pt idx="6">
                  <c:v>42186</c:v>
                </c:pt>
                <c:pt idx="7">
                  <c:v>42217</c:v>
                </c:pt>
                <c:pt idx="8">
                  <c:v>42248</c:v>
                </c:pt>
                <c:pt idx="9">
                  <c:v>42278</c:v>
                </c:pt>
                <c:pt idx="10">
                  <c:v>42309</c:v>
                </c:pt>
                <c:pt idx="11">
                  <c:v>42339</c:v>
                </c:pt>
                <c:pt idx="12">
                  <c:v>42370</c:v>
                </c:pt>
                <c:pt idx="13">
                  <c:v>42401</c:v>
                </c:pt>
                <c:pt idx="14">
                  <c:v>42430</c:v>
                </c:pt>
              </c:numCache>
            </c:numRef>
          </c:cat>
          <c:val>
            <c:numRef>
              <c:f>SFR!$G$5:$U$5</c:f>
              <c:numCache>
                <c:formatCode>0.00%</c:formatCode>
                <c:ptCount val="15"/>
                <c:pt idx="0">
                  <c:v>0.92597641389804719</c:v>
                </c:pt>
                <c:pt idx="1">
                  <c:v>0.95036890073780145</c:v>
                </c:pt>
                <c:pt idx="2">
                  <c:v>0.9156820143456651</c:v>
                </c:pt>
                <c:pt idx="3">
                  <c:v>0.92221558674231119</c:v>
                </c:pt>
                <c:pt idx="4">
                  <c:v>0.91749204103289705</c:v>
                </c:pt>
                <c:pt idx="5">
                  <c:v>0.86857454817113466</c:v>
                </c:pt>
                <c:pt idx="6">
                  <c:v>0.87855182086592676</c:v>
                </c:pt>
                <c:pt idx="7">
                  <c:v>0.93360007522006694</c:v>
                </c:pt>
                <c:pt idx="8">
                  <c:v>0.93386015485526264</c:v>
                </c:pt>
                <c:pt idx="9">
                  <c:v>0.93494525405541629</c:v>
                </c:pt>
                <c:pt idx="10">
                  <c:v>0.89383455523574085</c:v>
                </c:pt>
                <c:pt idx="11">
                  <c:v>0.87088176920895943</c:v>
                </c:pt>
                <c:pt idx="12">
                  <c:v>0.8725902072208136</c:v>
                </c:pt>
                <c:pt idx="13">
                  <c:v>0.87343333047356797</c:v>
                </c:pt>
                <c:pt idx="14">
                  <c:v>0.86319457320346171</c:v>
                </c:pt>
              </c:numCache>
            </c:numRef>
          </c:val>
          <c:smooth val="0"/>
        </c:ser>
        <c:ser>
          <c:idx val="1"/>
          <c:order val="1"/>
          <c:tx>
            <c:strRef>
              <c:f>SFR!$F$33</c:f>
              <c:strCache>
                <c:ptCount val="1"/>
                <c:pt idx="0">
                  <c:v>Amber Trigger</c:v>
                </c:pt>
              </c:strCache>
            </c:strRef>
          </c:tx>
          <c:spPr>
            <a:ln w="28575" cap="rnd">
              <a:solidFill>
                <a:srgbClr val="FFC000"/>
              </a:solidFill>
              <a:prstDash val="sysDash"/>
              <a:round/>
            </a:ln>
            <a:effectLst/>
          </c:spPr>
          <c:marker>
            <c:symbol val="none"/>
          </c:marker>
          <c:dLbls>
            <c:delete val="1"/>
          </c:dLbls>
          <c:cat>
            <c:numRef>
              <c:f>SFR!$G$2:$U$2</c:f>
              <c:numCache>
                <c:formatCode>mmm\-yy</c:formatCode>
                <c:ptCount val="15"/>
                <c:pt idx="0">
                  <c:v>42005</c:v>
                </c:pt>
                <c:pt idx="1">
                  <c:v>42036</c:v>
                </c:pt>
                <c:pt idx="2">
                  <c:v>42064</c:v>
                </c:pt>
                <c:pt idx="3">
                  <c:v>42095</c:v>
                </c:pt>
                <c:pt idx="4">
                  <c:v>42125</c:v>
                </c:pt>
                <c:pt idx="5">
                  <c:v>42156</c:v>
                </c:pt>
                <c:pt idx="6">
                  <c:v>42186</c:v>
                </c:pt>
                <c:pt idx="7">
                  <c:v>42217</c:v>
                </c:pt>
                <c:pt idx="8">
                  <c:v>42248</c:v>
                </c:pt>
                <c:pt idx="9">
                  <c:v>42278</c:v>
                </c:pt>
                <c:pt idx="10">
                  <c:v>42309</c:v>
                </c:pt>
                <c:pt idx="11">
                  <c:v>42339</c:v>
                </c:pt>
                <c:pt idx="12">
                  <c:v>42370</c:v>
                </c:pt>
                <c:pt idx="13">
                  <c:v>42401</c:v>
                </c:pt>
                <c:pt idx="14">
                  <c:v>42430</c:v>
                </c:pt>
              </c:numCache>
            </c:numRef>
          </c:cat>
          <c:val>
            <c:numRef>
              <c:f>SFR!$G$33:$U$33</c:f>
              <c:numCache>
                <c:formatCode>0.00%</c:formatCode>
                <c:ptCount val="15"/>
                <c:pt idx="0">
                  <c:v>0.75</c:v>
                </c:pt>
                <c:pt idx="1">
                  <c:v>0.75</c:v>
                </c:pt>
                <c:pt idx="2">
                  <c:v>0.75</c:v>
                </c:pt>
                <c:pt idx="3">
                  <c:v>0.75</c:v>
                </c:pt>
                <c:pt idx="4">
                  <c:v>0.75</c:v>
                </c:pt>
                <c:pt idx="5">
                  <c:v>0.75</c:v>
                </c:pt>
                <c:pt idx="6">
                  <c:v>0.75</c:v>
                </c:pt>
                <c:pt idx="7">
                  <c:v>0.75</c:v>
                </c:pt>
                <c:pt idx="8">
                  <c:v>0.75</c:v>
                </c:pt>
                <c:pt idx="9">
                  <c:v>0.75</c:v>
                </c:pt>
                <c:pt idx="10">
                  <c:v>0.75</c:v>
                </c:pt>
                <c:pt idx="11">
                  <c:v>0.75</c:v>
                </c:pt>
                <c:pt idx="12">
                  <c:v>0.75</c:v>
                </c:pt>
                <c:pt idx="13">
                  <c:v>0.75</c:v>
                </c:pt>
                <c:pt idx="14">
                  <c:v>0.75</c:v>
                </c:pt>
              </c:numCache>
            </c:numRef>
          </c:val>
          <c:smooth val="0"/>
        </c:ser>
        <c:ser>
          <c:idx val="2"/>
          <c:order val="2"/>
          <c:tx>
            <c:strRef>
              <c:f>SFR!$F$34</c:f>
              <c:strCache>
                <c:ptCount val="1"/>
                <c:pt idx="0">
                  <c:v>Red Limit</c:v>
                </c:pt>
              </c:strCache>
            </c:strRef>
          </c:tx>
          <c:spPr>
            <a:ln w="28575" cap="rnd">
              <a:solidFill>
                <a:srgbClr val="FF0000"/>
              </a:solidFill>
              <a:prstDash val="dash"/>
              <a:round/>
            </a:ln>
            <a:effectLst/>
          </c:spPr>
          <c:marker>
            <c:symbol val="none"/>
          </c:marker>
          <c:dLbls>
            <c:delete val="1"/>
          </c:dLbls>
          <c:cat>
            <c:numRef>
              <c:f>SFR!$G$2:$U$2</c:f>
              <c:numCache>
                <c:formatCode>mmm\-yy</c:formatCode>
                <c:ptCount val="15"/>
                <c:pt idx="0">
                  <c:v>42005</c:v>
                </c:pt>
                <c:pt idx="1">
                  <c:v>42036</c:v>
                </c:pt>
                <c:pt idx="2">
                  <c:v>42064</c:v>
                </c:pt>
                <c:pt idx="3">
                  <c:v>42095</c:v>
                </c:pt>
                <c:pt idx="4">
                  <c:v>42125</c:v>
                </c:pt>
                <c:pt idx="5">
                  <c:v>42156</c:v>
                </c:pt>
                <c:pt idx="6">
                  <c:v>42186</c:v>
                </c:pt>
                <c:pt idx="7">
                  <c:v>42217</c:v>
                </c:pt>
                <c:pt idx="8">
                  <c:v>42248</c:v>
                </c:pt>
                <c:pt idx="9">
                  <c:v>42278</c:v>
                </c:pt>
                <c:pt idx="10">
                  <c:v>42309</c:v>
                </c:pt>
                <c:pt idx="11">
                  <c:v>42339</c:v>
                </c:pt>
                <c:pt idx="12">
                  <c:v>42370</c:v>
                </c:pt>
                <c:pt idx="13">
                  <c:v>42401</c:v>
                </c:pt>
                <c:pt idx="14">
                  <c:v>42430</c:v>
                </c:pt>
              </c:numCache>
            </c:numRef>
          </c:cat>
          <c:val>
            <c:numRef>
              <c:f>SFR!$G$34:$U$34</c:f>
              <c:numCache>
                <c:formatCode>0.00%</c:formatCode>
                <c:ptCount val="15"/>
                <c:pt idx="0">
                  <c:v>0.7</c:v>
                </c:pt>
                <c:pt idx="1">
                  <c:v>0.7</c:v>
                </c:pt>
                <c:pt idx="2">
                  <c:v>0.7</c:v>
                </c:pt>
                <c:pt idx="3">
                  <c:v>0.7</c:v>
                </c:pt>
                <c:pt idx="4">
                  <c:v>0.7</c:v>
                </c:pt>
                <c:pt idx="5">
                  <c:v>0.7</c:v>
                </c:pt>
                <c:pt idx="6">
                  <c:v>0.7</c:v>
                </c:pt>
                <c:pt idx="7">
                  <c:v>0.7</c:v>
                </c:pt>
                <c:pt idx="8">
                  <c:v>0.7</c:v>
                </c:pt>
                <c:pt idx="9">
                  <c:v>0.7</c:v>
                </c:pt>
                <c:pt idx="10">
                  <c:v>0.7</c:v>
                </c:pt>
                <c:pt idx="11">
                  <c:v>0.7</c:v>
                </c:pt>
                <c:pt idx="12">
                  <c:v>0.7</c:v>
                </c:pt>
                <c:pt idx="13">
                  <c:v>0.7</c:v>
                </c:pt>
                <c:pt idx="14">
                  <c:v>0.7</c:v>
                </c:pt>
              </c:numCache>
            </c:numRef>
          </c:val>
          <c:smooth val="0"/>
        </c:ser>
        <c:dLbls>
          <c:dLblPos val="t"/>
          <c:showLegendKey val="0"/>
          <c:showVal val="1"/>
          <c:showCatName val="0"/>
          <c:showSerName val="0"/>
          <c:showPercent val="0"/>
          <c:showBubbleSize val="0"/>
        </c:dLbls>
        <c:marker val="1"/>
        <c:smooth val="0"/>
        <c:axId val="478205824"/>
        <c:axId val="487797504"/>
      </c:lineChart>
      <c:dateAx>
        <c:axId val="478205824"/>
        <c:scaling>
          <c:orientation val="minMax"/>
        </c:scaling>
        <c:delete val="0"/>
        <c:axPos val="b"/>
        <c:numFmt formatCode="mmm\-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487797504"/>
        <c:crosses val="autoZero"/>
        <c:auto val="1"/>
        <c:lblOffset val="100"/>
        <c:baseTimeUnit val="months"/>
      </c:dateAx>
      <c:valAx>
        <c:axId val="487797504"/>
        <c:scaling>
          <c:orientation val="minMax"/>
          <c:min val="0.65000000000000013"/>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820582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orientation="portrait"/>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900" b="0" i="0" u="none" strike="noStrike" kern="1200" spc="0" baseline="0">
                <a:solidFill>
                  <a:schemeClr val="tx1">
                    <a:lumMod val="65000"/>
                    <a:lumOff val="35000"/>
                  </a:schemeClr>
                </a:solidFill>
                <a:latin typeface="+mn-lt"/>
                <a:ea typeface="+mn-ea"/>
                <a:cs typeface="+mn-cs"/>
              </a:defRPr>
            </a:pPr>
            <a:r>
              <a:rPr lang="en-US" sz="900"/>
              <a:t>Available Committed Liquidity</a:t>
            </a:r>
            <a:r>
              <a:rPr lang="en-US" sz="900" baseline="0"/>
              <a:t> / Average Projected Net Originations</a:t>
            </a:r>
            <a:endParaRPr lang="en-US" sz="900"/>
          </a:p>
        </c:rich>
      </c:tx>
      <c:overlay val="0"/>
      <c:spPr>
        <a:noFill/>
        <a:ln>
          <a:noFill/>
        </a:ln>
        <a:effectLst/>
      </c:spPr>
    </c:title>
    <c:autoTitleDeleted val="0"/>
    <c:plotArea>
      <c:layout>
        <c:manualLayout>
          <c:layoutTarget val="inner"/>
          <c:xMode val="edge"/>
          <c:yMode val="edge"/>
          <c:x val="4.1435531732877076E-2"/>
          <c:y val="8.6192551495055322E-2"/>
          <c:w val="0.9347394438422616"/>
          <c:h val="0.64128364132653948"/>
        </c:manualLayout>
      </c:layout>
      <c:lineChart>
        <c:grouping val="standard"/>
        <c:varyColors val="0"/>
        <c:ser>
          <c:idx val="0"/>
          <c:order val="0"/>
          <c:tx>
            <c:strRef>
              <c:f>ACL!$B$5</c:f>
              <c:strCache>
                <c:ptCount val="1"/>
                <c:pt idx="0">
                  <c:v>Available Committed Liquidity / Average Projected Net Originations (in Months)</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ACL!$G$2:$U$2</c:f>
              <c:numCache>
                <c:formatCode>mmm\-yy</c:formatCode>
                <c:ptCount val="15"/>
                <c:pt idx="0">
                  <c:v>42005</c:v>
                </c:pt>
                <c:pt idx="1">
                  <c:v>42036</c:v>
                </c:pt>
                <c:pt idx="2">
                  <c:v>42064</c:v>
                </c:pt>
                <c:pt idx="3">
                  <c:v>42095</c:v>
                </c:pt>
                <c:pt idx="4">
                  <c:v>42125</c:v>
                </c:pt>
                <c:pt idx="5">
                  <c:v>42156</c:v>
                </c:pt>
                <c:pt idx="6">
                  <c:v>42186</c:v>
                </c:pt>
                <c:pt idx="7">
                  <c:v>42217</c:v>
                </c:pt>
                <c:pt idx="8">
                  <c:v>42248</c:v>
                </c:pt>
                <c:pt idx="9">
                  <c:v>42278</c:v>
                </c:pt>
                <c:pt idx="10">
                  <c:v>42309</c:v>
                </c:pt>
                <c:pt idx="11">
                  <c:v>42339</c:v>
                </c:pt>
                <c:pt idx="12">
                  <c:v>42370</c:v>
                </c:pt>
                <c:pt idx="13">
                  <c:v>42401</c:v>
                </c:pt>
                <c:pt idx="14">
                  <c:v>42430</c:v>
                </c:pt>
              </c:numCache>
            </c:numRef>
          </c:cat>
          <c:val>
            <c:numRef>
              <c:f>ACL!$G$5:$U$5</c:f>
              <c:numCache>
                <c:formatCode>0.0</c:formatCode>
                <c:ptCount val="15"/>
                <c:pt idx="0">
                  <c:v>5.6</c:v>
                </c:pt>
                <c:pt idx="1">
                  <c:v>5.5</c:v>
                </c:pt>
                <c:pt idx="2">
                  <c:v>4.5</c:v>
                </c:pt>
                <c:pt idx="3">
                  <c:v>4.5999999999999996</c:v>
                </c:pt>
                <c:pt idx="4">
                  <c:v>5</c:v>
                </c:pt>
                <c:pt idx="5">
                  <c:v>5.4</c:v>
                </c:pt>
                <c:pt idx="6">
                  <c:v>5.5</c:v>
                </c:pt>
                <c:pt idx="7">
                  <c:v>4.2</c:v>
                </c:pt>
                <c:pt idx="8">
                  <c:v>4.3</c:v>
                </c:pt>
                <c:pt idx="9">
                  <c:v>4.8</c:v>
                </c:pt>
                <c:pt idx="10">
                  <c:v>5.7</c:v>
                </c:pt>
                <c:pt idx="11">
                  <c:v>5.4</c:v>
                </c:pt>
                <c:pt idx="12">
                  <c:v>5.7</c:v>
                </c:pt>
                <c:pt idx="13">
                  <c:v>6</c:v>
                </c:pt>
                <c:pt idx="14">
                  <c:v>4.7</c:v>
                </c:pt>
              </c:numCache>
            </c:numRef>
          </c:val>
          <c:smooth val="0"/>
        </c:ser>
        <c:ser>
          <c:idx val="1"/>
          <c:order val="1"/>
          <c:tx>
            <c:strRef>
              <c:f>ACL!$F$33</c:f>
              <c:strCache>
                <c:ptCount val="1"/>
                <c:pt idx="0">
                  <c:v>Amber Trigger</c:v>
                </c:pt>
              </c:strCache>
            </c:strRef>
          </c:tx>
          <c:spPr>
            <a:ln w="28575" cap="rnd">
              <a:solidFill>
                <a:srgbClr val="FFC000"/>
              </a:solidFill>
              <a:prstDash val="sysDash"/>
              <a:round/>
            </a:ln>
            <a:effectLst/>
          </c:spPr>
          <c:marker>
            <c:symbol val="none"/>
          </c:marker>
          <c:cat>
            <c:numRef>
              <c:f>ACL!$G$2:$U$2</c:f>
              <c:numCache>
                <c:formatCode>mmm\-yy</c:formatCode>
                <c:ptCount val="15"/>
                <c:pt idx="0">
                  <c:v>42005</c:v>
                </c:pt>
                <c:pt idx="1">
                  <c:v>42036</c:v>
                </c:pt>
                <c:pt idx="2">
                  <c:v>42064</c:v>
                </c:pt>
                <c:pt idx="3">
                  <c:v>42095</c:v>
                </c:pt>
                <c:pt idx="4">
                  <c:v>42125</c:v>
                </c:pt>
                <c:pt idx="5">
                  <c:v>42156</c:v>
                </c:pt>
                <c:pt idx="6">
                  <c:v>42186</c:v>
                </c:pt>
                <c:pt idx="7">
                  <c:v>42217</c:v>
                </c:pt>
                <c:pt idx="8">
                  <c:v>42248</c:v>
                </c:pt>
                <c:pt idx="9">
                  <c:v>42278</c:v>
                </c:pt>
                <c:pt idx="10">
                  <c:v>42309</c:v>
                </c:pt>
                <c:pt idx="11">
                  <c:v>42339</c:v>
                </c:pt>
                <c:pt idx="12">
                  <c:v>42370</c:v>
                </c:pt>
                <c:pt idx="13">
                  <c:v>42401</c:v>
                </c:pt>
                <c:pt idx="14">
                  <c:v>42430</c:v>
                </c:pt>
              </c:numCache>
            </c:numRef>
          </c:cat>
          <c:val>
            <c:numRef>
              <c:f>ACL!$G$33:$U$33</c:f>
              <c:numCache>
                <c:formatCode>_(* #,##0_);_(* \(#,##0\);_(* "-"??_);_(@_)</c:formatCode>
                <c:ptCount val="15"/>
                <c:pt idx="0">
                  <c:v>4</c:v>
                </c:pt>
                <c:pt idx="1">
                  <c:v>4</c:v>
                </c:pt>
                <c:pt idx="2">
                  <c:v>4</c:v>
                </c:pt>
                <c:pt idx="3">
                  <c:v>4</c:v>
                </c:pt>
                <c:pt idx="4">
                  <c:v>4</c:v>
                </c:pt>
                <c:pt idx="5">
                  <c:v>4</c:v>
                </c:pt>
                <c:pt idx="6">
                  <c:v>4</c:v>
                </c:pt>
                <c:pt idx="7">
                  <c:v>4</c:v>
                </c:pt>
                <c:pt idx="8">
                  <c:v>4</c:v>
                </c:pt>
                <c:pt idx="9">
                  <c:v>4</c:v>
                </c:pt>
                <c:pt idx="10">
                  <c:v>4</c:v>
                </c:pt>
                <c:pt idx="11">
                  <c:v>4</c:v>
                </c:pt>
                <c:pt idx="12">
                  <c:v>4</c:v>
                </c:pt>
                <c:pt idx="13">
                  <c:v>4</c:v>
                </c:pt>
                <c:pt idx="14">
                  <c:v>4</c:v>
                </c:pt>
              </c:numCache>
            </c:numRef>
          </c:val>
          <c:smooth val="0"/>
        </c:ser>
        <c:ser>
          <c:idx val="2"/>
          <c:order val="2"/>
          <c:tx>
            <c:strRef>
              <c:f>ACL!$F$34</c:f>
              <c:strCache>
                <c:ptCount val="1"/>
                <c:pt idx="0">
                  <c:v>Red Limit</c:v>
                </c:pt>
              </c:strCache>
            </c:strRef>
          </c:tx>
          <c:spPr>
            <a:ln w="28575" cap="rnd">
              <a:solidFill>
                <a:srgbClr val="FF0000"/>
              </a:solidFill>
              <a:prstDash val="dash"/>
              <a:round/>
            </a:ln>
            <a:effectLst/>
          </c:spPr>
          <c:marker>
            <c:symbol val="none"/>
          </c:marker>
          <c:cat>
            <c:numRef>
              <c:f>ACL!$G$2:$U$2</c:f>
              <c:numCache>
                <c:formatCode>mmm\-yy</c:formatCode>
                <c:ptCount val="15"/>
                <c:pt idx="0">
                  <c:v>42005</c:v>
                </c:pt>
                <c:pt idx="1">
                  <c:v>42036</c:v>
                </c:pt>
                <c:pt idx="2">
                  <c:v>42064</c:v>
                </c:pt>
                <c:pt idx="3">
                  <c:v>42095</c:v>
                </c:pt>
                <c:pt idx="4">
                  <c:v>42125</c:v>
                </c:pt>
                <c:pt idx="5">
                  <c:v>42156</c:v>
                </c:pt>
                <c:pt idx="6">
                  <c:v>42186</c:v>
                </c:pt>
                <c:pt idx="7">
                  <c:v>42217</c:v>
                </c:pt>
                <c:pt idx="8">
                  <c:v>42248</c:v>
                </c:pt>
                <c:pt idx="9">
                  <c:v>42278</c:v>
                </c:pt>
                <c:pt idx="10">
                  <c:v>42309</c:v>
                </c:pt>
                <c:pt idx="11">
                  <c:v>42339</c:v>
                </c:pt>
                <c:pt idx="12">
                  <c:v>42370</c:v>
                </c:pt>
                <c:pt idx="13">
                  <c:v>42401</c:v>
                </c:pt>
                <c:pt idx="14">
                  <c:v>42430</c:v>
                </c:pt>
              </c:numCache>
            </c:numRef>
          </c:cat>
          <c:val>
            <c:numRef>
              <c:f>ACL!$G$34:$U$34</c:f>
              <c:numCache>
                <c:formatCode>_(* #,##0_);_(* \(#,##0\);_(* "-"??_);_(@_)</c:formatCode>
                <c:ptCount val="15"/>
                <c:pt idx="0">
                  <c:v>3</c:v>
                </c:pt>
                <c:pt idx="1">
                  <c:v>3</c:v>
                </c:pt>
                <c:pt idx="2">
                  <c:v>3</c:v>
                </c:pt>
                <c:pt idx="3">
                  <c:v>3</c:v>
                </c:pt>
                <c:pt idx="4">
                  <c:v>3</c:v>
                </c:pt>
                <c:pt idx="5">
                  <c:v>3</c:v>
                </c:pt>
                <c:pt idx="6">
                  <c:v>3</c:v>
                </c:pt>
                <c:pt idx="7">
                  <c:v>3</c:v>
                </c:pt>
                <c:pt idx="8">
                  <c:v>3</c:v>
                </c:pt>
                <c:pt idx="9">
                  <c:v>3</c:v>
                </c:pt>
                <c:pt idx="10">
                  <c:v>3</c:v>
                </c:pt>
                <c:pt idx="11">
                  <c:v>3</c:v>
                </c:pt>
                <c:pt idx="12">
                  <c:v>3</c:v>
                </c:pt>
                <c:pt idx="13">
                  <c:v>3</c:v>
                </c:pt>
                <c:pt idx="14">
                  <c:v>3</c:v>
                </c:pt>
              </c:numCache>
            </c:numRef>
          </c:val>
          <c:smooth val="0"/>
        </c:ser>
        <c:dLbls>
          <c:showLegendKey val="0"/>
          <c:showVal val="0"/>
          <c:showCatName val="0"/>
          <c:showSerName val="0"/>
          <c:showPercent val="0"/>
          <c:showBubbleSize val="0"/>
        </c:dLbls>
        <c:marker val="1"/>
        <c:smooth val="0"/>
        <c:axId val="499969408"/>
        <c:axId val="499979776"/>
      </c:lineChart>
      <c:dateAx>
        <c:axId val="499969408"/>
        <c:scaling>
          <c:orientation val="minMax"/>
        </c:scaling>
        <c:delete val="0"/>
        <c:axPos val="b"/>
        <c:numFmt formatCode="mmm\-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499979776"/>
        <c:crosses val="autoZero"/>
        <c:auto val="1"/>
        <c:lblOffset val="100"/>
        <c:baseTimeUnit val="months"/>
      </c:dateAx>
      <c:valAx>
        <c:axId val="499979776"/>
        <c:scaling>
          <c:orientation val="minMax"/>
          <c:max val="7"/>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9969408"/>
        <c:crosses val="autoZero"/>
        <c:crossBetween val="between"/>
      </c:valAx>
      <c:spPr>
        <a:noFill/>
        <a:ln>
          <a:noFill/>
        </a:ln>
        <a:effectLst/>
      </c:spPr>
    </c:plotArea>
    <c:legend>
      <c:legendPos val="b"/>
      <c:layout>
        <c:manualLayout>
          <c:xMode val="edge"/>
          <c:yMode val="edge"/>
          <c:x val="0"/>
          <c:y val="0.80219074178227734"/>
          <c:w val="0.98509754099886426"/>
          <c:h val="0.19780925821772283"/>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orientation="portrait"/>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Net</a:t>
            </a:r>
            <a:r>
              <a:rPr lang="en-US" baseline="0"/>
              <a:t> Interest Income Sensitivity</a:t>
            </a:r>
            <a:endParaRPr lang="en-US"/>
          </a:p>
        </c:rich>
      </c:tx>
      <c:overlay val="0"/>
      <c:spPr>
        <a:noFill/>
        <a:ln>
          <a:noFill/>
        </a:ln>
        <a:effectLst/>
      </c:spPr>
    </c:title>
    <c:autoTitleDeleted val="0"/>
    <c:plotArea>
      <c:layout/>
      <c:lineChart>
        <c:grouping val="standard"/>
        <c:varyColors val="0"/>
        <c:ser>
          <c:idx val="0"/>
          <c:order val="0"/>
          <c:tx>
            <c:strRef>
              <c:f>NII!$B$4</c:f>
              <c:strCache>
                <c:ptCount val="1"/>
                <c:pt idx="0">
                  <c:v>NII (+/- 100bps shock)</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NII!$G$2:$U$2</c:f>
              <c:numCache>
                <c:formatCode>mmm\-yy</c:formatCode>
                <c:ptCount val="15"/>
                <c:pt idx="0">
                  <c:v>42005</c:v>
                </c:pt>
                <c:pt idx="1">
                  <c:v>42036</c:v>
                </c:pt>
                <c:pt idx="2">
                  <c:v>42064</c:v>
                </c:pt>
                <c:pt idx="3">
                  <c:v>42095</c:v>
                </c:pt>
                <c:pt idx="4">
                  <c:v>42125</c:v>
                </c:pt>
                <c:pt idx="5">
                  <c:v>42156</c:v>
                </c:pt>
                <c:pt idx="6">
                  <c:v>42186</c:v>
                </c:pt>
                <c:pt idx="7">
                  <c:v>42217</c:v>
                </c:pt>
                <c:pt idx="8">
                  <c:v>42248</c:v>
                </c:pt>
                <c:pt idx="9">
                  <c:v>42278</c:v>
                </c:pt>
                <c:pt idx="10">
                  <c:v>42309</c:v>
                </c:pt>
                <c:pt idx="11">
                  <c:v>42339</c:v>
                </c:pt>
                <c:pt idx="12">
                  <c:v>42370</c:v>
                </c:pt>
                <c:pt idx="13">
                  <c:v>42401</c:v>
                </c:pt>
                <c:pt idx="14">
                  <c:v>42430</c:v>
                </c:pt>
              </c:numCache>
            </c:numRef>
          </c:cat>
          <c:val>
            <c:numRef>
              <c:f>NII!$G$4:$U$4</c:f>
              <c:numCache>
                <c:formatCode>"$"#,##0,,"mm"</c:formatCode>
                <c:ptCount val="15"/>
                <c:pt idx="0">
                  <c:v>-41000000</c:v>
                </c:pt>
                <c:pt idx="1">
                  <c:v>-40000000</c:v>
                </c:pt>
                <c:pt idx="2">
                  <c:v>-50000000</c:v>
                </c:pt>
                <c:pt idx="3">
                  <c:v>-38000000</c:v>
                </c:pt>
                <c:pt idx="4">
                  <c:v>-41134979.429027826</c:v>
                </c:pt>
                <c:pt idx="5">
                  <c:v>-36814970.776156515</c:v>
                </c:pt>
                <c:pt idx="6">
                  <c:v>-40376222.022295028</c:v>
                </c:pt>
                <c:pt idx="7">
                  <c:v>-39493733.530354977</c:v>
                </c:pt>
                <c:pt idx="8">
                  <c:v>-41799436.259999998</c:v>
                </c:pt>
                <c:pt idx="9">
                  <c:v>-42121018.925791018</c:v>
                </c:pt>
                <c:pt idx="10">
                  <c:v>-39185157.331596598</c:v>
                </c:pt>
                <c:pt idx="11">
                  <c:v>-47412645.687351853</c:v>
                </c:pt>
                <c:pt idx="12">
                  <c:v>-51407079.539999999</c:v>
                </c:pt>
                <c:pt idx="13">
                  <c:v>-46809176.125503697</c:v>
                </c:pt>
                <c:pt idx="14">
                  <c:v>-55608098.633277833</c:v>
                </c:pt>
              </c:numCache>
            </c:numRef>
          </c:val>
          <c:smooth val="0"/>
        </c:ser>
        <c:ser>
          <c:idx val="1"/>
          <c:order val="1"/>
          <c:tx>
            <c:strRef>
              <c:f>NII!$F$33</c:f>
              <c:strCache>
                <c:ptCount val="1"/>
                <c:pt idx="0">
                  <c:v>Amber Trigger</c:v>
                </c:pt>
              </c:strCache>
            </c:strRef>
          </c:tx>
          <c:spPr>
            <a:ln w="28575" cap="rnd">
              <a:solidFill>
                <a:srgbClr val="FFC000"/>
              </a:solidFill>
              <a:prstDash val="sysDash"/>
              <a:round/>
            </a:ln>
            <a:effectLst/>
          </c:spPr>
          <c:marker>
            <c:symbol val="none"/>
          </c:marker>
          <c:dLbls>
            <c:delete val="1"/>
          </c:dLbls>
          <c:cat>
            <c:numRef>
              <c:f>NII!$G$2:$U$2</c:f>
              <c:numCache>
                <c:formatCode>mmm\-yy</c:formatCode>
                <c:ptCount val="15"/>
                <c:pt idx="0">
                  <c:v>42005</c:v>
                </c:pt>
                <c:pt idx="1">
                  <c:v>42036</c:v>
                </c:pt>
                <c:pt idx="2">
                  <c:v>42064</c:v>
                </c:pt>
                <c:pt idx="3">
                  <c:v>42095</c:v>
                </c:pt>
                <c:pt idx="4">
                  <c:v>42125</c:v>
                </c:pt>
                <c:pt idx="5">
                  <c:v>42156</c:v>
                </c:pt>
                <c:pt idx="6">
                  <c:v>42186</c:v>
                </c:pt>
                <c:pt idx="7">
                  <c:v>42217</c:v>
                </c:pt>
                <c:pt idx="8">
                  <c:v>42248</c:v>
                </c:pt>
                <c:pt idx="9">
                  <c:v>42278</c:v>
                </c:pt>
                <c:pt idx="10">
                  <c:v>42309</c:v>
                </c:pt>
                <c:pt idx="11">
                  <c:v>42339</c:v>
                </c:pt>
                <c:pt idx="12">
                  <c:v>42370</c:v>
                </c:pt>
                <c:pt idx="13">
                  <c:v>42401</c:v>
                </c:pt>
                <c:pt idx="14">
                  <c:v>42430</c:v>
                </c:pt>
              </c:numCache>
            </c:numRef>
          </c:cat>
          <c:val>
            <c:numRef>
              <c:f>NII!$G$33:$U$33</c:f>
              <c:numCache>
                <c:formatCode>"$"#,##0,,"mm"</c:formatCode>
                <c:ptCount val="15"/>
                <c:pt idx="0">
                  <c:v>-75000000</c:v>
                </c:pt>
                <c:pt idx="1">
                  <c:v>-75000000</c:v>
                </c:pt>
                <c:pt idx="2">
                  <c:v>-75000000</c:v>
                </c:pt>
                <c:pt idx="3">
                  <c:v>-75000000</c:v>
                </c:pt>
                <c:pt idx="4">
                  <c:v>-75000000</c:v>
                </c:pt>
                <c:pt idx="5">
                  <c:v>-75000000</c:v>
                </c:pt>
                <c:pt idx="6">
                  <c:v>-75000000</c:v>
                </c:pt>
                <c:pt idx="7">
                  <c:v>-75000000</c:v>
                </c:pt>
                <c:pt idx="8">
                  <c:v>-75000000</c:v>
                </c:pt>
                <c:pt idx="9">
                  <c:v>-75000000</c:v>
                </c:pt>
                <c:pt idx="10">
                  <c:v>-75000000</c:v>
                </c:pt>
                <c:pt idx="11">
                  <c:v>-75000000</c:v>
                </c:pt>
                <c:pt idx="12">
                  <c:v>-75000000</c:v>
                </c:pt>
                <c:pt idx="13">
                  <c:v>-75000000</c:v>
                </c:pt>
                <c:pt idx="14">
                  <c:v>-75000000</c:v>
                </c:pt>
              </c:numCache>
            </c:numRef>
          </c:val>
          <c:smooth val="0"/>
        </c:ser>
        <c:ser>
          <c:idx val="2"/>
          <c:order val="2"/>
          <c:tx>
            <c:strRef>
              <c:f>NII!$F$34</c:f>
              <c:strCache>
                <c:ptCount val="1"/>
                <c:pt idx="0">
                  <c:v>Red Limit</c:v>
                </c:pt>
              </c:strCache>
            </c:strRef>
          </c:tx>
          <c:spPr>
            <a:ln w="28575" cap="rnd">
              <a:solidFill>
                <a:srgbClr val="FF0000"/>
              </a:solidFill>
              <a:prstDash val="dash"/>
              <a:round/>
            </a:ln>
            <a:effectLst/>
          </c:spPr>
          <c:marker>
            <c:symbol val="none"/>
          </c:marker>
          <c:dLbls>
            <c:delete val="1"/>
          </c:dLbls>
          <c:cat>
            <c:numRef>
              <c:f>NII!$G$2:$U$2</c:f>
              <c:numCache>
                <c:formatCode>mmm\-yy</c:formatCode>
                <c:ptCount val="15"/>
                <c:pt idx="0">
                  <c:v>42005</c:v>
                </c:pt>
                <c:pt idx="1">
                  <c:v>42036</c:v>
                </c:pt>
                <c:pt idx="2">
                  <c:v>42064</c:v>
                </c:pt>
                <c:pt idx="3">
                  <c:v>42095</c:v>
                </c:pt>
                <c:pt idx="4">
                  <c:v>42125</c:v>
                </c:pt>
                <c:pt idx="5">
                  <c:v>42156</c:v>
                </c:pt>
                <c:pt idx="6">
                  <c:v>42186</c:v>
                </c:pt>
                <c:pt idx="7">
                  <c:v>42217</c:v>
                </c:pt>
                <c:pt idx="8">
                  <c:v>42248</c:v>
                </c:pt>
                <c:pt idx="9">
                  <c:v>42278</c:v>
                </c:pt>
                <c:pt idx="10">
                  <c:v>42309</c:v>
                </c:pt>
                <c:pt idx="11">
                  <c:v>42339</c:v>
                </c:pt>
                <c:pt idx="12">
                  <c:v>42370</c:v>
                </c:pt>
                <c:pt idx="13">
                  <c:v>42401</c:v>
                </c:pt>
                <c:pt idx="14">
                  <c:v>42430</c:v>
                </c:pt>
              </c:numCache>
            </c:numRef>
          </c:cat>
          <c:val>
            <c:numRef>
              <c:f>NII!$G$34:$U$34</c:f>
              <c:numCache>
                <c:formatCode>"$"#,##0,,"mm"</c:formatCode>
                <c:ptCount val="15"/>
                <c:pt idx="0">
                  <c:v>-100000000</c:v>
                </c:pt>
                <c:pt idx="1">
                  <c:v>-100000000</c:v>
                </c:pt>
                <c:pt idx="2">
                  <c:v>-100000000</c:v>
                </c:pt>
                <c:pt idx="3">
                  <c:v>-100000000</c:v>
                </c:pt>
                <c:pt idx="4">
                  <c:v>-100000000</c:v>
                </c:pt>
                <c:pt idx="5">
                  <c:v>-100000000</c:v>
                </c:pt>
                <c:pt idx="6">
                  <c:v>-100000000</c:v>
                </c:pt>
                <c:pt idx="7">
                  <c:v>-100000000</c:v>
                </c:pt>
                <c:pt idx="8">
                  <c:v>-100000000</c:v>
                </c:pt>
                <c:pt idx="9">
                  <c:v>-100000000</c:v>
                </c:pt>
                <c:pt idx="10">
                  <c:v>-100000000</c:v>
                </c:pt>
                <c:pt idx="11">
                  <c:v>-100000000</c:v>
                </c:pt>
                <c:pt idx="12">
                  <c:v>-100000000</c:v>
                </c:pt>
                <c:pt idx="13">
                  <c:v>-100000000</c:v>
                </c:pt>
                <c:pt idx="14">
                  <c:v>-100000000</c:v>
                </c:pt>
              </c:numCache>
            </c:numRef>
          </c:val>
          <c:smooth val="0"/>
        </c:ser>
        <c:dLbls>
          <c:dLblPos val="t"/>
          <c:showLegendKey val="0"/>
          <c:showVal val="1"/>
          <c:showCatName val="0"/>
          <c:showSerName val="0"/>
          <c:showPercent val="0"/>
          <c:showBubbleSize val="0"/>
        </c:dLbls>
        <c:marker val="1"/>
        <c:smooth val="0"/>
        <c:axId val="500288896"/>
        <c:axId val="500705536"/>
      </c:lineChart>
      <c:dateAx>
        <c:axId val="500288896"/>
        <c:scaling>
          <c:orientation val="minMax"/>
        </c:scaling>
        <c:delete val="0"/>
        <c:axPos val="b"/>
        <c:minorGridlines>
          <c:spPr>
            <a:ln w="9525" cap="flat" cmpd="sng" algn="ctr">
              <a:noFill/>
              <a:round/>
            </a:ln>
            <a:effectLst/>
          </c:spPr>
        </c:minorGridlines>
        <c:numFmt formatCode="mmm\-yy"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500705536"/>
        <c:crosses val="autoZero"/>
        <c:auto val="1"/>
        <c:lblOffset val="100"/>
        <c:baseTimeUnit val="months"/>
      </c:dateAx>
      <c:valAx>
        <c:axId val="500705536"/>
        <c:scaling>
          <c:orientation val="minMax"/>
        </c:scaling>
        <c:delete val="0"/>
        <c:axPos val="l"/>
        <c:majorGridlines>
          <c:spPr>
            <a:ln w="9525" cap="flat" cmpd="sng" algn="ctr">
              <a:solidFill>
                <a:schemeClr val="tx1">
                  <a:lumMod val="15000"/>
                  <a:lumOff val="85000"/>
                </a:schemeClr>
              </a:solidFill>
              <a:round/>
            </a:ln>
            <a:effectLst/>
          </c:spPr>
        </c:majorGridlines>
        <c:numFmt formatCode="&quot;$&quot;#,##0,,&quot;mm&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02888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Market</a:t>
            </a:r>
            <a:r>
              <a:rPr lang="en-US" baseline="0"/>
              <a:t> Value of Equity</a:t>
            </a:r>
            <a:endParaRPr lang="en-US"/>
          </a:p>
        </c:rich>
      </c:tx>
      <c:overlay val="0"/>
      <c:spPr>
        <a:noFill/>
        <a:ln>
          <a:noFill/>
        </a:ln>
        <a:effectLst/>
      </c:spPr>
    </c:title>
    <c:autoTitleDeleted val="0"/>
    <c:plotArea>
      <c:layout>
        <c:manualLayout>
          <c:layoutTarget val="inner"/>
          <c:xMode val="edge"/>
          <c:yMode val="edge"/>
          <c:x val="0.10592249771969993"/>
          <c:y val="0.14690672748251815"/>
          <c:w val="0.86157159211481549"/>
          <c:h val="0.58394434832504116"/>
        </c:manualLayout>
      </c:layout>
      <c:lineChart>
        <c:grouping val="standard"/>
        <c:varyColors val="0"/>
        <c:ser>
          <c:idx val="0"/>
          <c:order val="0"/>
          <c:tx>
            <c:strRef>
              <c:f>MVE!$B$4</c:f>
              <c:strCache>
                <c:ptCount val="1"/>
                <c:pt idx="0">
                  <c:v>MVE (+/- 200bps shock)</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MVE!$G$2:$U$2</c:f>
              <c:numCache>
                <c:formatCode>mmm\-yy</c:formatCode>
                <c:ptCount val="15"/>
                <c:pt idx="0">
                  <c:v>42005</c:v>
                </c:pt>
                <c:pt idx="1">
                  <c:v>42036</c:v>
                </c:pt>
                <c:pt idx="2">
                  <c:v>42064</c:v>
                </c:pt>
                <c:pt idx="3">
                  <c:v>42095</c:v>
                </c:pt>
                <c:pt idx="4">
                  <c:v>42125</c:v>
                </c:pt>
                <c:pt idx="5">
                  <c:v>42156</c:v>
                </c:pt>
                <c:pt idx="6">
                  <c:v>42186</c:v>
                </c:pt>
                <c:pt idx="7">
                  <c:v>42217</c:v>
                </c:pt>
                <c:pt idx="8">
                  <c:v>42248</c:v>
                </c:pt>
                <c:pt idx="9">
                  <c:v>42278</c:v>
                </c:pt>
                <c:pt idx="10">
                  <c:v>42309</c:v>
                </c:pt>
                <c:pt idx="11">
                  <c:v>42339</c:v>
                </c:pt>
                <c:pt idx="12">
                  <c:v>42370</c:v>
                </c:pt>
                <c:pt idx="13">
                  <c:v>42401</c:v>
                </c:pt>
                <c:pt idx="14">
                  <c:v>42430</c:v>
                </c:pt>
              </c:numCache>
            </c:numRef>
          </c:cat>
          <c:val>
            <c:numRef>
              <c:f>MVE!$G$4:$U$4</c:f>
              <c:numCache>
                <c:formatCode>"$"#,##0,,"mm"</c:formatCode>
                <c:ptCount val="15"/>
                <c:pt idx="0">
                  <c:v>-200062152.75987354</c:v>
                </c:pt>
                <c:pt idx="1">
                  <c:v>-204389981.0490841</c:v>
                </c:pt>
                <c:pt idx="2">
                  <c:v>-240516643.16487995</c:v>
                </c:pt>
                <c:pt idx="3">
                  <c:v>-214391501.4265894</c:v>
                </c:pt>
                <c:pt idx="4">
                  <c:v>-263454627.15456364</c:v>
                </c:pt>
                <c:pt idx="5">
                  <c:v>-167313313.64932567</c:v>
                </c:pt>
                <c:pt idx="6">
                  <c:v>-218668656.31404841</c:v>
                </c:pt>
                <c:pt idx="7">
                  <c:v>-202012852.51875332</c:v>
                </c:pt>
                <c:pt idx="8">
                  <c:v>-226452674.77000001</c:v>
                </c:pt>
                <c:pt idx="9">
                  <c:v>-235174555.3757405</c:v>
                </c:pt>
                <c:pt idx="10">
                  <c:v>-209514162.29455194</c:v>
                </c:pt>
                <c:pt idx="11">
                  <c:v>-227023496.79746908</c:v>
                </c:pt>
                <c:pt idx="12">
                  <c:v>-207861280</c:v>
                </c:pt>
                <c:pt idx="13">
                  <c:v>-202393845.18108201</c:v>
                </c:pt>
                <c:pt idx="14">
                  <c:v>-215827584.38591433</c:v>
                </c:pt>
              </c:numCache>
            </c:numRef>
          </c:val>
          <c:smooth val="0"/>
        </c:ser>
        <c:ser>
          <c:idx val="1"/>
          <c:order val="1"/>
          <c:tx>
            <c:strRef>
              <c:f>MVE!$F$33</c:f>
              <c:strCache>
                <c:ptCount val="1"/>
                <c:pt idx="0">
                  <c:v>Amber Trigger</c:v>
                </c:pt>
              </c:strCache>
            </c:strRef>
          </c:tx>
          <c:spPr>
            <a:ln w="28575" cap="rnd">
              <a:solidFill>
                <a:srgbClr val="FFC000"/>
              </a:solidFill>
              <a:prstDash val="sysDash"/>
              <a:round/>
            </a:ln>
            <a:effectLst/>
          </c:spPr>
          <c:marker>
            <c:symbol val="none"/>
          </c:marker>
          <c:dLbls>
            <c:delete val="1"/>
          </c:dLbls>
          <c:cat>
            <c:numRef>
              <c:f>MVE!$G$2:$U$2</c:f>
              <c:numCache>
                <c:formatCode>mmm\-yy</c:formatCode>
                <c:ptCount val="15"/>
                <c:pt idx="0">
                  <c:v>42005</c:v>
                </c:pt>
                <c:pt idx="1">
                  <c:v>42036</c:v>
                </c:pt>
                <c:pt idx="2">
                  <c:v>42064</c:v>
                </c:pt>
                <c:pt idx="3">
                  <c:v>42095</c:v>
                </c:pt>
                <c:pt idx="4">
                  <c:v>42125</c:v>
                </c:pt>
                <c:pt idx="5">
                  <c:v>42156</c:v>
                </c:pt>
                <c:pt idx="6">
                  <c:v>42186</c:v>
                </c:pt>
                <c:pt idx="7">
                  <c:v>42217</c:v>
                </c:pt>
                <c:pt idx="8">
                  <c:v>42248</c:v>
                </c:pt>
                <c:pt idx="9">
                  <c:v>42278</c:v>
                </c:pt>
                <c:pt idx="10">
                  <c:v>42309</c:v>
                </c:pt>
                <c:pt idx="11">
                  <c:v>42339</c:v>
                </c:pt>
                <c:pt idx="12">
                  <c:v>42370</c:v>
                </c:pt>
                <c:pt idx="13">
                  <c:v>42401</c:v>
                </c:pt>
                <c:pt idx="14">
                  <c:v>42430</c:v>
                </c:pt>
              </c:numCache>
            </c:numRef>
          </c:cat>
          <c:val>
            <c:numRef>
              <c:f>MVE!$G$33:$U$33</c:f>
              <c:numCache>
                <c:formatCode>"$"#,##0,,"mm"</c:formatCode>
                <c:ptCount val="15"/>
                <c:pt idx="0">
                  <c:v>-280000000</c:v>
                </c:pt>
                <c:pt idx="1">
                  <c:v>-280000000</c:v>
                </c:pt>
                <c:pt idx="2">
                  <c:v>-280000000</c:v>
                </c:pt>
                <c:pt idx="3">
                  <c:v>-280000000</c:v>
                </c:pt>
                <c:pt idx="4">
                  <c:v>-280000000</c:v>
                </c:pt>
                <c:pt idx="5">
                  <c:v>-280000000</c:v>
                </c:pt>
                <c:pt idx="6">
                  <c:v>-280000000</c:v>
                </c:pt>
                <c:pt idx="7">
                  <c:v>-280000000</c:v>
                </c:pt>
                <c:pt idx="8">
                  <c:v>-280000000</c:v>
                </c:pt>
                <c:pt idx="9">
                  <c:v>-280000000</c:v>
                </c:pt>
                <c:pt idx="10">
                  <c:v>-280000000</c:v>
                </c:pt>
                <c:pt idx="11">
                  <c:v>-280000000</c:v>
                </c:pt>
                <c:pt idx="12">
                  <c:v>-280000000</c:v>
                </c:pt>
                <c:pt idx="13">
                  <c:v>-280000000</c:v>
                </c:pt>
                <c:pt idx="14">
                  <c:v>-280000000</c:v>
                </c:pt>
              </c:numCache>
            </c:numRef>
          </c:val>
          <c:smooth val="0"/>
        </c:ser>
        <c:ser>
          <c:idx val="2"/>
          <c:order val="2"/>
          <c:tx>
            <c:strRef>
              <c:f>MVE!$F$34</c:f>
              <c:strCache>
                <c:ptCount val="1"/>
                <c:pt idx="0">
                  <c:v>Red Limit</c:v>
                </c:pt>
              </c:strCache>
            </c:strRef>
          </c:tx>
          <c:spPr>
            <a:ln w="28575" cap="rnd">
              <a:solidFill>
                <a:srgbClr val="FF0000"/>
              </a:solidFill>
              <a:prstDash val="dash"/>
              <a:round/>
            </a:ln>
            <a:effectLst/>
          </c:spPr>
          <c:marker>
            <c:symbol val="none"/>
          </c:marker>
          <c:dLbls>
            <c:delete val="1"/>
          </c:dLbls>
          <c:cat>
            <c:numRef>
              <c:f>MVE!$G$2:$U$2</c:f>
              <c:numCache>
                <c:formatCode>mmm\-yy</c:formatCode>
                <c:ptCount val="15"/>
                <c:pt idx="0">
                  <c:v>42005</c:v>
                </c:pt>
                <c:pt idx="1">
                  <c:v>42036</c:v>
                </c:pt>
                <c:pt idx="2">
                  <c:v>42064</c:v>
                </c:pt>
                <c:pt idx="3">
                  <c:v>42095</c:v>
                </c:pt>
                <c:pt idx="4">
                  <c:v>42125</c:v>
                </c:pt>
                <c:pt idx="5">
                  <c:v>42156</c:v>
                </c:pt>
                <c:pt idx="6">
                  <c:v>42186</c:v>
                </c:pt>
                <c:pt idx="7">
                  <c:v>42217</c:v>
                </c:pt>
                <c:pt idx="8">
                  <c:v>42248</c:v>
                </c:pt>
                <c:pt idx="9">
                  <c:v>42278</c:v>
                </c:pt>
                <c:pt idx="10">
                  <c:v>42309</c:v>
                </c:pt>
                <c:pt idx="11">
                  <c:v>42339</c:v>
                </c:pt>
                <c:pt idx="12">
                  <c:v>42370</c:v>
                </c:pt>
                <c:pt idx="13">
                  <c:v>42401</c:v>
                </c:pt>
                <c:pt idx="14">
                  <c:v>42430</c:v>
                </c:pt>
              </c:numCache>
            </c:numRef>
          </c:cat>
          <c:val>
            <c:numRef>
              <c:f>MVE!$G$34:$U$34</c:f>
              <c:numCache>
                <c:formatCode>"$"#,##0,,"mm"</c:formatCode>
                <c:ptCount val="15"/>
                <c:pt idx="0">
                  <c:v>-350000000</c:v>
                </c:pt>
                <c:pt idx="1">
                  <c:v>-350000000</c:v>
                </c:pt>
                <c:pt idx="2">
                  <c:v>-350000000</c:v>
                </c:pt>
                <c:pt idx="3">
                  <c:v>-350000000</c:v>
                </c:pt>
                <c:pt idx="4">
                  <c:v>-350000000</c:v>
                </c:pt>
                <c:pt idx="5">
                  <c:v>-350000000</c:v>
                </c:pt>
                <c:pt idx="6">
                  <c:v>-350000000</c:v>
                </c:pt>
                <c:pt idx="7">
                  <c:v>-350000000</c:v>
                </c:pt>
                <c:pt idx="8">
                  <c:v>-350000000</c:v>
                </c:pt>
                <c:pt idx="9">
                  <c:v>-350000000</c:v>
                </c:pt>
                <c:pt idx="10">
                  <c:v>-350000000</c:v>
                </c:pt>
                <c:pt idx="11">
                  <c:v>-350000000</c:v>
                </c:pt>
                <c:pt idx="12">
                  <c:v>-350000000</c:v>
                </c:pt>
                <c:pt idx="13">
                  <c:v>-350000000</c:v>
                </c:pt>
                <c:pt idx="14">
                  <c:v>-350000000</c:v>
                </c:pt>
              </c:numCache>
            </c:numRef>
          </c:val>
          <c:smooth val="0"/>
        </c:ser>
        <c:dLbls>
          <c:dLblPos val="t"/>
          <c:showLegendKey val="0"/>
          <c:showVal val="1"/>
          <c:showCatName val="0"/>
          <c:showSerName val="0"/>
          <c:showPercent val="0"/>
          <c:showBubbleSize val="0"/>
        </c:dLbls>
        <c:marker val="1"/>
        <c:smooth val="0"/>
        <c:axId val="507323904"/>
        <c:axId val="507355136"/>
      </c:lineChart>
      <c:dateAx>
        <c:axId val="507323904"/>
        <c:scaling>
          <c:orientation val="minMax"/>
        </c:scaling>
        <c:delete val="0"/>
        <c:axPos val="b"/>
        <c:numFmt formatCode="mmm\-yy"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507355136"/>
        <c:crosses val="autoZero"/>
        <c:auto val="1"/>
        <c:lblOffset val="100"/>
        <c:baseTimeUnit val="months"/>
      </c:dateAx>
      <c:valAx>
        <c:axId val="507355136"/>
        <c:scaling>
          <c:orientation val="minMax"/>
        </c:scaling>
        <c:delete val="0"/>
        <c:axPos val="l"/>
        <c:majorGridlines>
          <c:spPr>
            <a:ln w="9525" cap="flat" cmpd="sng" algn="ctr">
              <a:solidFill>
                <a:schemeClr val="tx1">
                  <a:lumMod val="15000"/>
                  <a:lumOff val="85000"/>
                </a:schemeClr>
              </a:solidFill>
              <a:round/>
            </a:ln>
            <a:effectLst/>
          </c:spPr>
        </c:majorGridlines>
        <c:numFmt formatCode="&quot;$&quot;#,##0,,&quot;mm&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7323904"/>
        <c:crosses val="autoZero"/>
        <c:crossBetween val="between"/>
      </c:valAx>
      <c:spPr>
        <a:noFill/>
        <a:ln>
          <a:noFill/>
        </a:ln>
        <a:effectLst/>
      </c:spPr>
    </c:plotArea>
    <c:legend>
      <c:legendPos val="b"/>
      <c:layout>
        <c:manualLayout>
          <c:xMode val="edge"/>
          <c:yMode val="edge"/>
          <c:x val="2.6490571657266246E-2"/>
          <c:y val="0.840028590176228"/>
          <c:w val="0.92337819474693339"/>
          <c:h val="0.1599714098237720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Risk Weighted Assets (RWAs)</a:t>
            </a:r>
          </a:p>
        </c:rich>
      </c:tx>
      <c:overlay val="0"/>
      <c:spPr>
        <a:noFill/>
        <a:ln>
          <a:noFill/>
        </a:ln>
        <a:effectLst/>
      </c:spPr>
    </c:title>
    <c:autoTitleDeleted val="0"/>
    <c:plotArea>
      <c:layout/>
      <c:barChart>
        <c:barDir val="col"/>
        <c:grouping val="clustered"/>
        <c:varyColors val="0"/>
        <c:ser>
          <c:idx val="0"/>
          <c:order val="0"/>
          <c:tx>
            <c:strRef>
              <c:f>RWA!$B$6</c:f>
              <c:strCache>
                <c:ptCount val="1"/>
                <c:pt idx="0">
                  <c:v>Total Risk Weighted Assets (RWAs)</c:v>
                </c:pt>
              </c:strCache>
            </c:strRef>
          </c:tx>
          <c:spPr>
            <a:solidFill>
              <a:schemeClr val="accent1"/>
            </a:solidFill>
            <a:ln>
              <a:noFill/>
            </a:ln>
            <a:effectLst/>
          </c:spPr>
          <c:invertIfNegative val="0"/>
          <c:dLbls>
            <c:dLbl>
              <c:idx val="14"/>
              <c:layout>
                <c:manualLayout>
                  <c:x val="-1.0148949823433734E-3"/>
                  <c:y val="0.39232455618198736"/>
                </c:manualLayout>
              </c:layout>
              <c:dLblPos val="outEnd"/>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RWA!$G$2:$U$2</c:f>
              <c:numCache>
                <c:formatCode>mmm\-yy</c:formatCode>
                <c:ptCount val="15"/>
                <c:pt idx="0">
                  <c:v>42005</c:v>
                </c:pt>
                <c:pt idx="1">
                  <c:v>42036</c:v>
                </c:pt>
                <c:pt idx="2">
                  <c:v>42064</c:v>
                </c:pt>
                <c:pt idx="3">
                  <c:v>42095</c:v>
                </c:pt>
                <c:pt idx="4">
                  <c:v>42125</c:v>
                </c:pt>
                <c:pt idx="5">
                  <c:v>42156</c:v>
                </c:pt>
                <c:pt idx="6">
                  <c:v>42186</c:v>
                </c:pt>
                <c:pt idx="7">
                  <c:v>42217</c:v>
                </c:pt>
                <c:pt idx="8">
                  <c:v>42248</c:v>
                </c:pt>
                <c:pt idx="9">
                  <c:v>42278</c:v>
                </c:pt>
                <c:pt idx="10">
                  <c:v>42309</c:v>
                </c:pt>
                <c:pt idx="11">
                  <c:v>42339</c:v>
                </c:pt>
                <c:pt idx="12">
                  <c:v>42370</c:v>
                </c:pt>
                <c:pt idx="13">
                  <c:v>42401</c:v>
                </c:pt>
                <c:pt idx="14">
                  <c:v>42430</c:v>
                </c:pt>
              </c:numCache>
            </c:numRef>
          </c:cat>
          <c:val>
            <c:numRef>
              <c:f>RWA!$G$6:$U$6</c:f>
              <c:numCache>
                <c:formatCode>"$"#0.0,,,"bn"</c:formatCode>
                <c:ptCount val="15"/>
                <c:pt idx="0">
                  <c:v>33023670431.250267</c:v>
                </c:pt>
                <c:pt idx="1">
                  <c:v>33773905584.223969</c:v>
                </c:pt>
                <c:pt idx="2">
                  <c:v>35809114477.486076</c:v>
                </c:pt>
                <c:pt idx="3">
                  <c:v>36039008030.844673</c:v>
                </c:pt>
                <c:pt idx="4">
                  <c:v>36133319246.076256</c:v>
                </c:pt>
                <c:pt idx="5">
                  <c:v>37145631811.903252</c:v>
                </c:pt>
                <c:pt idx="6">
                  <c:v>36987904484.343651</c:v>
                </c:pt>
                <c:pt idx="7">
                  <c:v>37311910827.834831</c:v>
                </c:pt>
                <c:pt idx="8">
                  <c:v>37019143011</c:v>
                </c:pt>
                <c:pt idx="9">
                  <c:v>37253218132.729378</c:v>
                </c:pt>
                <c:pt idx="10">
                  <c:v>36582194154.10524</c:v>
                </c:pt>
                <c:pt idx="11">
                  <c:v>37729472022.697044</c:v>
                </c:pt>
                <c:pt idx="12">
                  <c:v>38352672736.189392</c:v>
                </c:pt>
                <c:pt idx="13">
                  <c:v>38127940117.893303</c:v>
                </c:pt>
                <c:pt idx="14">
                  <c:v>38865089901.366608</c:v>
                </c:pt>
              </c:numCache>
            </c:numRef>
          </c:val>
        </c:ser>
        <c:dLbls>
          <c:showLegendKey val="0"/>
          <c:showVal val="1"/>
          <c:showCatName val="0"/>
          <c:showSerName val="0"/>
          <c:showPercent val="0"/>
          <c:showBubbleSize val="0"/>
        </c:dLbls>
        <c:gapWidth val="150"/>
        <c:axId val="573238656"/>
        <c:axId val="583112576"/>
        <c:extLst/>
      </c:barChart>
      <c:lineChart>
        <c:grouping val="standard"/>
        <c:varyColors val="0"/>
        <c:ser>
          <c:idx val="1"/>
          <c:order val="1"/>
          <c:tx>
            <c:strRef>
              <c:f>RWA!$D$10</c:f>
              <c:strCache>
                <c:ptCount val="1"/>
                <c:pt idx="0">
                  <c:v>AMBER TRIGGER</c:v>
                </c:pt>
              </c:strCache>
            </c:strRef>
          </c:tx>
          <c:spPr>
            <a:ln w="28575" cap="rnd">
              <a:solidFill>
                <a:srgbClr val="FFC000"/>
              </a:solidFill>
              <a:prstDash val="sysDash"/>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RWA!$C$11:$C$25</c:f>
              <c:numCache>
                <c:formatCode>[$-409]mmm\-yy;@</c:formatCode>
                <c:ptCount val="15"/>
                <c:pt idx="0">
                  <c:v>42005</c:v>
                </c:pt>
                <c:pt idx="1">
                  <c:v>42036</c:v>
                </c:pt>
                <c:pt idx="2">
                  <c:v>42064</c:v>
                </c:pt>
                <c:pt idx="3">
                  <c:v>42095</c:v>
                </c:pt>
                <c:pt idx="4">
                  <c:v>42125</c:v>
                </c:pt>
                <c:pt idx="5">
                  <c:v>42156</c:v>
                </c:pt>
                <c:pt idx="6">
                  <c:v>42186</c:v>
                </c:pt>
                <c:pt idx="7">
                  <c:v>42217</c:v>
                </c:pt>
                <c:pt idx="8">
                  <c:v>42248</c:v>
                </c:pt>
                <c:pt idx="9">
                  <c:v>42278</c:v>
                </c:pt>
                <c:pt idx="10">
                  <c:v>42309</c:v>
                </c:pt>
                <c:pt idx="11">
                  <c:v>42339</c:v>
                </c:pt>
                <c:pt idx="12">
                  <c:v>42370</c:v>
                </c:pt>
                <c:pt idx="13">
                  <c:v>42401</c:v>
                </c:pt>
                <c:pt idx="14">
                  <c:v>42430</c:v>
                </c:pt>
              </c:numCache>
            </c:numRef>
          </c:cat>
          <c:val>
            <c:numRef>
              <c:f>RWA!$D$11:$D$25</c:f>
              <c:numCache>
                <c:formatCode>"$"#0.0,,,</c:formatCode>
                <c:ptCount val="15"/>
                <c:pt idx="0">
                  <c:v>27885078258.536366</c:v>
                </c:pt>
                <c:pt idx="1">
                  <c:v>28620185554.590866</c:v>
                </c:pt>
                <c:pt idx="2">
                  <c:v>29821317866.545452</c:v>
                </c:pt>
                <c:pt idx="3">
                  <c:v>30897003884.803337</c:v>
                </c:pt>
                <c:pt idx="4">
                  <c:v>32422876488.47641</c:v>
                </c:pt>
                <c:pt idx="5">
                  <c:v>33286450542.894638</c:v>
                </c:pt>
                <c:pt idx="6">
                  <c:v>34493098347.822647</c:v>
                </c:pt>
                <c:pt idx="7">
                  <c:v>33863913931.940857</c:v>
                </c:pt>
                <c:pt idx="8">
                  <c:v>34181493782.149887</c:v>
                </c:pt>
                <c:pt idx="9">
                  <c:v>35749048770.110901</c:v>
                </c:pt>
                <c:pt idx="10">
                  <c:v>36225238064.181816</c:v>
                </c:pt>
                <c:pt idx="11">
                  <c:v>36719625348.36364</c:v>
                </c:pt>
                <c:pt idx="12">
                  <c:v>36106692691.594643</c:v>
                </c:pt>
                <c:pt idx="13">
                  <c:v>36527185875.038185</c:v>
                </c:pt>
                <c:pt idx="14">
                  <c:v>37075644007.132256</c:v>
                </c:pt>
              </c:numCache>
            </c:numRef>
          </c:val>
          <c:smooth val="0"/>
          <c:extLst/>
        </c:ser>
        <c:ser>
          <c:idx val="2"/>
          <c:order val="2"/>
          <c:tx>
            <c:strRef>
              <c:f>RWA!$E$10</c:f>
              <c:strCache>
                <c:ptCount val="1"/>
                <c:pt idx="0">
                  <c:v>RED LIMIT</c:v>
                </c:pt>
              </c:strCache>
            </c:strRef>
          </c:tx>
          <c:spPr>
            <a:ln w="28575" cap="rnd">
              <a:solidFill>
                <a:srgbClr val="FF0000"/>
              </a:solidFill>
              <a:prstDash val="dash"/>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noFill/>
                      <a:round/>
                    </a:ln>
                    <a:effectLst/>
                  </c:spPr>
                </c15:leaderLines>
              </c:ext>
            </c:extLst>
          </c:dLbls>
          <c:cat>
            <c:numRef>
              <c:f>RWA!$C$11:$C$25</c:f>
              <c:numCache>
                <c:formatCode>[$-409]mmm\-yy;@</c:formatCode>
                <c:ptCount val="15"/>
                <c:pt idx="0">
                  <c:v>42005</c:v>
                </c:pt>
                <c:pt idx="1">
                  <c:v>42036</c:v>
                </c:pt>
                <c:pt idx="2">
                  <c:v>42064</c:v>
                </c:pt>
                <c:pt idx="3">
                  <c:v>42095</c:v>
                </c:pt>
                <c:pt idx="4">
                  <c:v>42125</c:v>
                </c:pt>
                <c:pt idx="5">
                  <c:v>42156</c:v>
                </c:pt>
                <c:pt idx="6">
                  <c:v>42186</c:v>
                </c:pt>
                <c:pt idx="7">
                  <c:v>42217</c:v>
                </c:pt>
                <c:pt idx="8">
                  <c:v>42248</c:v>
                </c:pt>
                <c:pt idx="9">
                  <c:v>42278</c:v>
                </c:pt>
                <c:pt idx="10">
                  <c:v>42309</c:v>
                </c:pt>
                <c:pt idx="11">
                  <c:v>42339</c:v>
                </c:pt>
                <c:pt idx="12">
                  <c:v>42370</c:v>
                </c:pt>
                <c:pt idx="13">
                  <c:v>42401</c:v>
                </c:pt>
                <c:pt idx="14">
                  <c:v>42430</c:v>
                </c:pt>
              </c:numCache>
            </c:numRef>
          </c:cat>
          <c:val>
            <c:numRef>
              <c:f>RWA!$E$11:$E$25</c:f>
              <c:numCache>
                <c:formatCode>"$"#0.0,,,</c:formatCode>
                <c:ptCount val="15"/>
                <c:pt idx="0">
                  <c:v>29885078258.536366</c:v>
                </c:pt>
                <c:pt idx="1">
                  <c:v>30620185554.590866</c:v>
                </c:pt>
                <c:pt idx="2">
                  <c:v>31821317866.545452</c:v>
                </c:pt>
                <c:pt idx="3">
                  <c:v>32897003884.803337</c:v>
                </c:pt>
                <c:pt idx="4">
                  <c:v>34422876488.47641</c:v>
                </c:pt>
                <c:pt idx="5">
                  <c:v>35286450542.894638</c:v>
                </c:pt>
                <c:pt idx="6">
                  <c:v>36493098347.822647</c:v>
                </c:pt>
                <c:pt idx="7">
                  <c:v>35863913931.940857</c:v>
                </c:pt>
                <c:pt idx="8">
                  <c:v>36181493782.149887</c:v>
                </c:pt>
                <c:pt idx="9">
                  <c:v>37749048770.110901</c:v>
                </c:pt>
                <c:pt idx="10">
                  <c:v>38225238064.181816</c:v>
                </c:pt>
                <c:pt idx="11">
                  <c:v>38719625348.36364</c:v>
                </c:pt>
                <c:pt idx="12">
                  <c:v>38106692691.594643</c:v>
                </c:pt>
                <c:pt idx="13">
                  <c:v>38527185875.038185</c:v>
                </c:pt>
                <c:pt idx="14">
                  <c:v>39075644007.132256</c:v>
                </c:pt>
              </c:numCache>
            </c:numRef>
          </c:val>
          <c:smooth val="0"/>
          <c:extLst/>
        </c:ser>
        <c:dLbls>
          <c:showLegendKey val="0"/>
          <c:showVal val="1"/>
          <c:showCatName val="0"/>
          <c:showSerName val="0"/>
          <c:showPercent val="0"/>
          <c:showBubbleSize val="0"/>
        </c:dLbls>
        <c:marker val="1"/>
        <c:smooth val="0"/>
        <c:axId val="573238656"/>
        <c:axId val="583112576"/>
      </c:lineChart>
      <c:dateAx>
        <c:axId val="573238656"/>
        <c:scaling>
          <c:orientation val="minMax"/>
        </c:scaling>
        <c:delete val="0"/>
        <c:axPos val="b"/>
        <c:numFmt formatCode="mmm\-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3112576"/>
        <c:crosses val="autoZero"/>
        <c:auto val="1"/>
        <c:lblOffset val="100"/>
        <c:baseTimeUnit val="months"/>
      </c:dateAx>
      <c:valAx>
        <c:axId val="583112576"/>
        <c:scaling>
          <c:orientation val="minMax"/>
          <c:max val="40000000000"/>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32386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SC Subprime Assets as % of SHUSA Credit Exposure</a:t>
            </a:r>
          </a:p>
        </c:rich>
      </c:tx>
      <c:overlay val="0"/>
      <c:spPr>
        <a:noFill/>
        <a:ln>
          <a:noFill/>
        </a:ln>
        <a:effectLst/>
      </c:spPr>
    </c:title>
    <c:autoTitleDeleted val="0"/>
    <c:plotArea>
      <c:layout/>
      <c:lineChart>
        <c:grouping val="standard"/>
        <c:varyColors val="0"/>
        <c:ser>
          <c:idx val="0"/>
          <c:order val="0"/>
          <c:tx>
            <c:strRef>
              <c:f>'Subprime Assets'!$B$5:$C$5</c:f>
              <c:strCache>
                <c:ptCount val="1"/>
                <c:pt idx="0">
                  <c:v>Subprime Assets as % of SHUSA Credit Exposure</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'Subprime Assets'!$G$2:$U$2</c:f>
              <c:numCache>
                <c:formatCode>mmm\-yy</c:formatCode>
                <c:ptCount val="15"/>
                <c:pt idx="0">
                  <c:v>42005</c:v>
                </c:pt>
                <c:pt idx="1">
                  <c:v>42036</c:v>
                </c:pt>
                <c:pt idx="2">
                  <c:v>42064</c:v>
                </c:pt>
                <c:pt idx="3">
                  <c:v>42095</c:v>
                </c:pt>
                <c:pt idx="4">
                  <c:v>42125</c:v>
                </c:pt>
                <c:pt idx="5">
                  <c:v>42156</c:v>
                </c:pt>
                <c:pt idx="6">
                  <c:v>42186</c:v>
                </c:pt>
                <c:pt idx="7">
                  <c:v>42217</c:v>
                </c:pt>
                <c:pt idx="8">
                  <c:v>42248</c:v>
                </c:pt>
                <c:pt idx="9">
                  <c:v>42278</c:v>
                </c:pt>
                <c:pt idx="10">
                  <c:v>42309</c:v>
                </c:pt>
                <c:pt idx="11">
                  <c:v>42339</c:v>
                </c:pt>
                <c:pt idx="12">
                  <c:v>42370</c:v>
                </c:pt>
                <c:pt idx="13">
                  <c:v>42401</c:v>
                </c:pt>
                <c:pt idx="14">
                  <c:v>42430</c:v>
                </c:pt>
              </c:numCache>
            </c:numRef>
          </c:cat>
          <c:val>
            <c:numRef>
              <c:f>'Subprime Assets'!$G$5:$U$5</c:f>
              <c:numCache>
                <c:formatCode>0.00%</c:formatCode>
                <c:ptCount val="15"/>
                <c:pt idx="0">
                  <c:v>0.18299247937459354</c:v>
                </c:pt>
                <c:pt idx="1">
                  <c:v>0.18645405580011362</c:v>
                </c:pt>
                <c:pt idx="2">
                  <c:v>0.19208313881844061</c:v>
                </c:pt>
                <c:pt idx="3">
                  <c:v>0.19483632849205948</c:v>
                </c:pt>
                <c:pt idx="4">
                  <c:v>0.19690761974474236</c:v>
                </c:pt>
                <c:pt idx="5">
                  <c:v>0.20137183970729092</c:v>
                </c:pt>
                <c:pt idx="6">
                  <c:v>0.19810795081765131</c:v>
                </c:pt>
                <c:pt idx="7">
                  <c:v>0.2000043162140247</c:v>
                </c:pt>
                <c:pt idx="8">
                  <c:v>0.19599436307721432</c:v>
                </c:pt>
                <c:pt idx="9">
                  <c:v>0.19475193369778995</c:v>
                </c:pt>
                <c:pt idx="10">
                  <c:v>0.1956247421158066</c:v>
                </c:pt>
                <c:pt idx="11">
                  <c:v>0.19631153140938926</c:v>
                </c:pt>
                <c:pt idx="12">
                  <c:v>0.19632800923364341</c:v>
                </c:pt>
                <c:pt idx="13">
                  <c:v>0.19619484536543993</c:v>
                </c:pt>
                <c:pt idx="14">
                  <c:v>0.20047480659149317</c:v>
                </c:pt>
              </c:numCache>
            </c:numRef>
          </c:val>
          <c:smooth val="0"/>
        </c:ser>
        <c:ser>
          <c:idx val="1"/>
          <c:order val="1"/>
          <c:tx>
            <c:strRef>
              <c:f>'Subprime Assets'!$F$32</c:f>
              <c:strCache>
                <c:ptCount val="1"/>
                <c:pt idx="0">
                  <c:v>Amber Trigger</c:v>
                </c:pt>
              </c:strCache>
            </c:strRef>
          </c:tx>
          <c:spPr>
            <a:ln w="28575" cap="rnd">
              <a:solidFill>
                <a:srgbClr val="FFC000"/>
              </a:solidFill>
              <a:prstDash val="sysDash"/>
              <a:round/>
            </a:ln>
            <a:effectLst/>
          </c:spPr>
          <c:marker>
            <c:symbol val="none"/>
          </c:marker>
          <c:dLbls>
            <c:delete val="1"/>
          </c:dLbls>
          <c:cat>
            <c:numRef>
              <c:f>'Subprime Assets'!$G$2:$U$2</c:f>
              <c:numCache>
                <c:formatCode>mmm\-yy</c:formatCode>
                <c:ptCount val="15"/>
                <c:pt idx="0">
                  <c:v>42005</c:v>
                </c:pt>
                <c:pt idx="1">
                  <c:v>42036</c:v>
                </c:pt>
                <c:pt idx="2">
                  <c:v>42064</c:v>
                </c:pt>
                <c:pt idx="3">
                  <c:v>42095</c:v>
                </c:pt>
                <c:pt idx="4">
                  <c:v>42125</c:v>
                </c:pt>
                <c:pt idx="5">
                  <c:v>42156</c:v>
                </c:pt>
                <c:pt idx="6">
                  <c:v>42186</c:v>
                </c:pt>
                <c:pt idx="7">
                  <c:v>42217</c:v>
                </c:pt>
                <c:pt idx="8">
                  <c:v>42248</c:v>
                </c:pt>
                <c:pt idx="9">
                  <c:v>42278</c:v>
                </c:pt>
                <c:pt idx="10">
                  <c:v>42309</c:v>
                </c:pt>
                <c:pt idx="11">
                  <c:v>42339</c:v>
                </c:pt>
                <c:pt idx="12">
                  <c:v>42370</c:v>
                </c:pt>
                <c:pt idx="13">
                  <c:v>42401</c:v>
                </c:pt>
                <c:pt idx="14">
                  <c:v>42430</c:v>
                </c:pt>
              </c:numCache>
            </c:numRef>
          </c:cat>
          <c:val>
            <c:numRef>
              <c:f>'Subprime Assets'!$G$32:$U$32</c:f>
              <c:numCache>
                <c:formatCode>0%</c:formatCode>
                <c:ptCount val="15"/>
                <c:pt idx="0">
                  <c:v>0.23</c:v>
                </c:pt>
                <c:pt idx="1">
                  <c:v>0.23</c:v>
                </c:pt>
                <c:pt idx="2">
                  <c:v>0.23</c:v>
                </c:pt>
                <c:pt idx="3">
                  <c:v>0.23</c:v>
                </c:pt>
                <c:pt idx="4">
                  <c:v>0.23</c:v>
                </c:pt>
                <c:pt idx="5">
                  <c:v>0.23</c:v>
                </c:pt>
                <c:pt idx="6">
                  <c:v>0.23</c:v>
                </c:pt>
                <c:pt idx="7">
                  <c:v>0.23</c:v>
                </c:pt>
                <c:pt idx="8">
                  <c:v>0.23</c:v>
                </c:pt>
                <c:pt idx="9">
                  <c:v>0.23</c:v>
                </c:pt>
                <c:pt idx="10">
                  <c:v>0.23</c:v>
                </c:pt>
                <c:pt idx="11">
                  <c:v>0.23</c:v>
                </c:pt>
                <c:pt idx="12">
                  <c:v>0.23</c:v>
                </c:pt>
                <c:pt idx="13">
                  <c:v>0.23</c:v>
                </c:pt>
                <c:pt idx="14">
                  <c:v>0.23</c:v>
                </c:pt>
              </c:numCache>
            </c:numRef>
          </c:val>
          <c:smooth val="0"/>
        </c:ser>
        <c:ser>
          <c:idx val="2"/>
          <c:order val="2"/>
          <c:tx>
            <c:strRef>
              <c:f>'Subprime Assets'!$F$33</c:f>
              <c:strCache>
                <c:ptCount val="1"/>
                <c:pt idx="0">
                  <c:v>Red Limit</c:v>
                </c:pt>
              </c:strCache>
            </c:strRef>
          </c:tx>
          <c:spPr>
            <a:ln w="28575" cap="rnd">
              <a:solidFill>
                <a:srgbClr val="FF0000"/>
              </a:solidFill>
              <a:prstDash val="dash"/>
              <a:round/>
            </a:ln>
            <a:effectLst/>
          </c:spPr>
          <c:marker>
            <c:symbol val="none"/>
          </c:marker>
          <c:dLbls>
            <c:delete val="1"/>
          </c:dLbls>
          <c:cat>
            <c:numRef>
              <c:f>'Subprime Assets'!$G$2:$U$2</c:f>
              <c:numCache>
                <c:formatCode>mmm\-yy</c:formatCode>
                <c:ptCount val="15"/>
                <c:pt idx="0">
                  <c:v>42005</c:v>
                </c:pt>
                <c:pt idx="1">
                  <c:v>42036</c:v>
                </c:pt>
                <c:pt idx="2">
                  <c:v>42064</c:v>
                </c:pt>
                <c:pt idx="3">
                  <c:v>42095</c:v>
                </c:pt>
                <c:pt idx="4">
                  <c:v>42125</c:v>
                </c:pt>
                <c:pt idx="5">
                  <c:v>42156</c:v>
                </c:pt>
                <c:pt idx="6">
                  <c:v>42186</c:v>
                </c:pt>
                <c:pt idx="7">
                  <c:v>42217</c:v>
                </c:pt>
                <c:pt idx="8">
                  <c:v>42248</c:v>
                </c:pt>
                <c:pt idx="9">
                  <c:v>42278</c:v>
                </c:pt>
                <c:pt idx="10">
                  <c:v>42309</c:v>
                </c:pt>
                <c:pt idx="11">
                  <c:v>42339</c:v>
                </c:pt>
                <c:pt idx="12">
                  <c:v>42370</c:v>
                </c:pt>
                <c:pt idx="13">
                  <c:v>42401</c:v>
                </c:pt>
                <c:pt idx="14">
                  <c:v>42430</c:v>
                </c:pt>
              </c:numCache>
            </c:numRef>
          </c:cat>
          <c:val>
            <c:numRef>
              <c:f>'Subprime Assets'!$G$33:$U$33</c:f>
              <c:numCache>
                <c:formatCode>0%</c:formatCode>
                <c:ptCount val="15"/>
                <c:pt idx="0">
                  <c:v>0.25</c:v>
                </c:pt>
                <c:pt idx="1">
                  <c:v>0.25</c:v>
                </c:pt>
                <c:pt idx="2">
                  <c:v>0.25</c:v>
                </c:pt>
                <c:pt idx="3">
                  <c:v>0.25</c:v>
                </c:pt>
                <c:pt idx="4">
                  <c:v>0.25</c:v>
                </c:pt>
                <c:pt idx="5">
                  <c:v>0.25</c:v>
                </c:pt>
                <c:pt idx="6">
                  <c:v>0.25</c:v>
                </c:pt>
                <c:pt idx="7">
                  <c:v>0.25</c:v>
                </c:pt>
                <c:pt idx="8">
                  <c:v>0.25</c:v>
                </c:pt>
                <c:pt idx="9">
                  <c:v>0.25</c:v>
                </c:pt>
                <c:pt idx="10">
                  <c:v>0.25</c:v>
                </c:pt>
                <c:pt idx="11">
                  <c:v>0.25</c:v>
                </c:pt>
                <c:pt idx="12">
                  <c:v>0.25</c:v>
                </c:pt>
                <c:pt idx="13">
                  <c:v>0.25</c:v>
                </c:pt>
                <c:pt idx="14">
                  <c:v>0.25</c:v>
                </c:pt>
              </c:numCache>
            </c:numRef>
          </c:val>
          <c:smooth val="0"/>
        </c:ser>
        <c:dLbls>
          <c:dLblPos val="t"/>
          <c:showLegendKey val="0"/>
          <c:showVal val="1"/>
          <c:showCatName val="0"/>
          <c:showSerName val="0"/>
          <c:showPercent val="0"/>
          <c:showBubbleSize val="0"/>
        </c:dLbls>
        <c:marker val="1"/>
        <c:smooth val="0"/>
        <c:axId val="583760512"/>
        <c:axId val="583956352"/>
        <c:extLst/>
      </c:lineChart>
      <c:dateAx>
        <c:axId val="583760512"/>
        <c:scaling>
          <c:orientation val="minMax"/>
        </c:scaling>
        <c:delete val="0"/>
        <c:axPos val="b"/>
        <c:numFmt formatCode="mmm\-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3956352"/>
        <c:crosses val="autoZero"/>
        <c:auto val="1"/>
        <c:lblOffset val="100"/>
        <c:baseTimeUnit val="months"/>
      </c:dateAx>
      <c:valAx>
        <c:axId val="583956352"/>
        <c:scaling>
          <c:orientation val="minMax"/>
          <c:max val="0.27500000000000002"/>
          <c:min val="0.17"/>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37605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9.xml"/></Relationships>
</file>

<file path=xl/drawings/_rels/drawing11.xml.rels><?xml version="1.0" encoding="UTF-8" standalone="yes"?>
<Relationships xmlns="http://schemas.openxmlformats.org/package/2006/relationships"><Relationship Id="rId2" Type="http://schemas.openxmlformats.org/officeDocument/2006/relationships/chart" Target="../charts/chart11.xml"/><Relationship Id="rId1" Type="http://schemas.openxmlformats.org/officeDocument/2006/relationships/chart" Target="../charts/chart10.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7.xml.rels><?xml version="1.0" encoding="UTF-8" standalone="yes"?>
<Relationships xmlns="http://schemas.openxmlformats.org/package/2006/relationships"><Relationship Id="rId1" Type="http://schemas.openxmlformats.org/officeDocument/2006/relationships/chart" Target="../charts/chart6.xml"/></Relationships>
</file>

<file path=xl/drawings/_rels/drawing8.xml.rels><?xml version="1.0" encoding="UTF-8" standalone="yes"?>
<Relationships xmlns="http://schemas.openxmlformats.org/package/2006/relationships"><Relationship Id="rId1" Type="http://schemas.openxmlformats.org/officeDocument/2006/relationships/chart" Target="../charts/chart7.xml"/></Relationships>
</file>

<file path=xl/drawings/_rels/drawing9.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1</xdr:col>
      <xdr:colOff>1624853</xdr:colOff>
      <xdr:row>4</xdr:row>
      <xdr:rowOff>78440</xdr:rowOff>
    </xdr:from>
    <xdr:to>
      <xdr:col>9</xdr:col>
      <xdr:colOff>631372</xdr:colOff>
      <xdr:row>29</xdr:row>
      <xdr:rowOff>119743</xdr:rowOff>
    </xdr:to>
    <xdr:graphicFrame macro="">
      <xdr:nvGraphicFramePr>
        <xdr:cNvPr id="2" name="Chart 1" title="="/>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0</xdr:col>
      <xdr:colOff>190499</xdr:colOff>
      <xdr:row>7</xdr:row>
      <xdr:rowOff>0</xdr:rowOff>
    </xdr:from>
    <xdr:to>
      <xdr:col>9</xdr:col>
      <xdr:colOff>717176</xdr:colOff>
      <xdr:row>25</xdr:row>
      <xdr:rowOff>145676</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10160</xdr:colOff>
      <xdr:row>60</xdr:row>
      <xdr:rowOff>48693</xdr:rowOff>
    </xdr:from>
    <xdr:to>
      <xdr:col>6</xdr:col>
      <xdr:colOff>734807</xdr:colOff>
      <xdr:row>66</xdr:row>
      <xdr:rowOff>183263</xdr:rowOff>
    </xdr:to>
    <xdr:sp macro="" textlink="">
      <xdr:nvSpPr>
        <xdr:cNvPr id="3" name="Rectangle 2"/>
        <xdr:cNvSpPr/>
      </xdr:nvSpPr>
      <xdr:spPr>
        <a:xfrm>
          <a:off x="200660" y="11714017"/>
          <a:ext cx="8636000" cy="1277570"/>
        </a:xfrm>
        <a:prstGeom prst="rect">
          <a:avLst/>
        </a:prstGeom>
        <a:solidFill>
          <a:schemeClr val="bg1">
            <a:lumMod val="95000"/>
          </a:schemeClr>
        </a:solidFill>
        <a:ln>
          <a:noFill/>
        </a:ln>
      </xdr:spPr>
      <xdr:style>
        <a:lnRef idx="1">
          <a:schemeClr val="accent1"/>
        </a:lnRef>
        <a:fillRef idx="3">
          <a:schemeClr val="accent1"/>
        </a:fillRef>
        <a:effectRef idx="2">
          <a:schemeClr val="accent1"/>
        </a:effectRef>
        <a:fontRef idx="minor">
          <a:schemeClr val="lt1"/>
        </a:fontRef>
      </xdr:style>
      <xdr:txBody>
        <a:bodyPr wrap="square" rtlCol="0" anchor="ctr"/>
        <a:lstStyle>
          <a:defPPr>
            <a:defRPr lang="en-US"/>
          </a:defPPr>
          <a:lvl1pPr algn="l" rtl="0" eaLnBrk="0" fontAlgn="base" hangingPunct="0">
            <a:spcBef>
              <a:spcPct val="0"/>
            </a:spcBef>
            <a:spcAft>
              <a:spcPct val="0"/>
            </a:spcAft>
            <a:defRPr sz="2400" kern="1200">
              <a:solidFill>
                <a:schemeClr val="lt1"/>
              </a:solidFill>
              <a:latin typeface="+mn-lt"/>
              <a:ea typeface="+mn-ea"/>
              <a:cs typeface="+mn-cs"/>
            </a:defRPr>
          </a:lvl1pPr>
          <a:lvl2pPr marL="457200" algn="l" rtl="0" eaLnBrk="0" fontAlgn="base" hangingPunct="0">
            <a:spcBef>
              <a:spcPct val="0"/>
            </a:spcBef>
            <a:spcAft>
              <a:spcPct val="0"/>
            </a:spcAft>
            <a:defRPr sz="2400" kern="1200">
              <a:solidFill>
                <a:schemeClr val="lt1"/>
              </a:solidFill>
              <a:latin typeface="+mn-lt"/>
              <a:ea typeface="+mn-ea"/>
              <a:cs typeface="+mn-cs"/>
            </a:defRPr>
          </a:lvl2pPr>
          <a:lvl3pPr marL="914400" algn="l" rtl="0" eaLnBrk="0" fontAlgn="base" hangingPunct="0">
            <a:spcBef>
              <a:spcPct val="0"/>
            </a:spcBef>
            <a:spcAft>
              <a:spcPct val="0"/>
            </a:spcAft>
            <a:defRPr sz="2400" kern="1200">
              <a:solidFill>
                <a:schemeClr val="lt1"/>
              </a:solidFill>
              <a:latin typeface="+mn-lt"/>
              <a:ea typeface="+mn-ea"/>
              <a:cs typeface="+mn-cs"/>
            </a:defRPr>
          </a:lvl3pPr>
          <a:lvl4pPr marL="1371600" algn="l" rtl="0" eaLnBrk="0" fontAlgn="base" hangingPunct="0">
            <a:spcBef>
              <a:spcPct val="0"/>
            </a:spcBef>
            <a:spcAft>
              <a:spcPct val="0"/>
            </a:spcAft>
            <a:defRPr sz="2400" kern="1200">
              <a:solidFill>
                <a:schemeClr val="lt1"/>
              </a:solidFill>
              <a:latin typeface="+mn-lt"/>
              <a:ea typeface="+mn-ea"/>
              <a:cs typeface="+mn-cs"/>
            </a:defRPr>
          </a:lvl4pPr>
          <a:lvl5pPr marL="1828800" algn="l" rtl="0" eaLnBrk="0" fontAlgn="base" hangingPunct="0">
            <a:spcBef>
              <a:spcPct val="0"/>
            </a:spcBef>
            <a:spcAft>
              <a:spcPct val="0"/>
            </a:spcAft>
            <a:defRPr sz="2400" kern="1200">
              <a:solidFill>
                <a:schemeClr val="lt1"/>
              </a:solidFill>
              <a:latin typeface="+mn-lt"/>
              <a:ea typeface="+mn-ea"/>
              <a:cs typeface="+mn-cs"/>
            </a:defRPr>
          </a:lvl5pPr>
          <a:lvl6pPr marL="2286000" algn="l" defTabSz="914400" rtl="0" eaLnBrk="1" latinLnBrk="0" hangingPunct="1">
            <a:defRPr sz="2400" kern="1200">
              <a:solidFill>
                <a:schemeClr val="lt1"/>
              </a:solidFill>
              <a:latin typeface="+mn-lt"/>
              <a:ea typeface="+mn-ea"/>
              <a:cs typeface="+mn-cs"/>
            </a:defRPr>
          </a:lvl6pPr>
          <a:lvl7pPr marL="2743200" algn="l" defTabSz="914400" rtl="0" eaLnBrk="1" latinLnBrk="0" hangingPunct="1">
            <a:defRPr sz="2400" kern="1200">
              <a:solidFill>
                <a:schemeClr val="lt1"/>
              </a:solidFill>
              <a:latin typeface="+mn-lt"/>
              <a:ea typeface="+mn-ea"/>
              <a:cs typeface="+mn-cs"/>
            </a:defRPr>
          </a:lvl7pPr>
          <a:lvl8pPr marL="3200400" algn="l" defTabSz="914400" rtl="0" eaLnBrk="1" latinLnBrk="0" hangingPunct="1">
            <a:defRPr sz="2400" kern="1200">
              <a:solidFill>
                <a:schemeClr val="lt1"/>
              </a:solidFill>
              <a:latin typeface="+mn-lt"/>
              <a:ea typeface="+mn-ea"/>
              <a:cs typeface="+mn-cs"/>
            </a:defRPr>
          </a:lvl8pPr>
          <a:lvl9pPr marL="3657600" algn="l" defTabSz="914400" rtl="0" eaLnBrk="1" latinLnBrk="0" hangingPunct="1">
            <a:defRPr sz="2400" kern="1200">
              <a:solidFill>
                <a:schemeClr val="lt1"/>
              </a:solidFill>
              <a:latin typeface="+mn-lt"/>
              <a:ea typeface="+mn-ea"/>
              <a:cs typeface="+mn-cs"/>
            </a:defRPr>
          </a:lvl9pPr>
        </a:lstStyle>
        <a:p>
          <a:pPr marL="171450" indent="-171450">
            <a:buFont typeface="Arial" panose="020B0604020202020204" pitchFamily="34" charset="0"/>
            <a:buChar char="•"/>
          </a:pPr>
          <a:r>
            <a:rPr lang="en-US" sz="1150">
              <a:solidFill>
                <a:schemeClr val="tx1"/>
              </a:solidFill>
              <a:latin typeface="Arial" panose="020B0604020202020204" pitchFamily="34" charset="0"/>
              <a:cs typeface="Arial" panose="020B0604020202020204" pitchFamily="34" charset="0"/>
            </a:rPr>
            <a:t>Based on SC P-18, SC subprime is not expected to grow significantly in 2016, though a mix shift back towards subprime is expected due to projected sale of personal lending and cap on leases</a:t>
          </a:r>
        </a:p>
        <a:p>
          <a:pPr marL="171450" indent="-171450">
            <a:spcBef>
              <a:spcPts val="600"/>
            </a:spcBef>
            <a:buFont typeface="Arial" panose="020B0604020202020204" pitchFamily="34" charset="0"/>
            <a:buChar char="•"/>
          </a:pPr>
          <a:r>
            <a:rPr lang="en-US" sz="1150">
              <a:solidFill>
                <a:schemeClr val="tx1"/>
              </a:solidFill>
              <a:latin typeface="Arial" panose="020B0604020202020204" pitchFamily="34" charset="0"/>
              <a:cs typeface="Arial" panose="020B0604020202020204" pitchFamily="34" charset="0"/>
            </a:rPr>
            <a:t>SHUSA exposure is not expected to change materially, except for GCB transfers to BSSA and inclusion of IHC entities</a:t>
          </a:r>
        </a:p>
        <a:p>
          <a:pPr marL="171450" indent="-171450">
            <a:spcBef>
              <a:spcPts val="600"/>
            </a:spcBef>
            <a:buFont typeface="Arial" panose="020B0604020202020204" pitchFamily="34" charset="0"/>
            <a:buChar char="•"/>
          </a:pPr>
          <a:r>
            <a:rPr lang="en-US" sz="1150">
              <a:solidFill>
                <a:schemeClr val="tx1"/>
              </a:solidFill>
              <a:latin typeface="Arial" panose="020B0604020202020204" pitchFamily="34" charset="0"/>
              <a:cs typeface="Arial" panose="020B0604020202020204" pitchFamily="34" charset="0"/>
            </a:rPr>
            <a:t>Other SHUSA subprime exposures include SBNA subprime of $300MM and BSPR subprime of $500MM, which is secured by mortgages </a:t>
          </a:r>
        </a:p>
      </xdr:txBody>
    </xdr:sp>
    <xdr:clientData/>
  </xdr:twoCellAnchor>
  <xdr:twoCellAnchor>
    <xdr:from>
      <xdr:col>1</xdr:col>
      <xdr:colOff>10160</xdr:colOff>
      <xdr:row>35</xdr:row>
      <xdr:rowOff>0</xdr:rowOff>
    </xdr:from>
    <xdr:to>
      <xdr:col>6</xdr:col>
      <xdr:colOff>988807</xdr:colOff>
      <xdr:row>37</xdr:row>
      <xdr:rowOff>187745</xdr:rowOff>
    </xdr:to>
    <xdr:sp macro="" textlink="">
      <xdr:nvSpPr>
        <xdr:cNvPr id="4" name="TextBox 3"/>
        <xdr:cNvSpPr txBox="1"/>
      </xdr:nvSpPr>
      <xdr:spPr>
        <a:xfrm>
          <a:off x="200660" y="6902824"/>
          <a:ext cx="8890000" cy="568745"/>
        </a:xfrm>
        <a:prstGeom prst="rect">
          <a:avLst/>
        </a:prstGeom>
        <a:noFill/>
      </xdr:spPr>
      <xdr:txBody>
        <a:bodyPr wrap="square" rtlCol="0">
          <a:spAutoFit/>
        </a:bodyPr>
        <a:lstStyle>
          <a:defPPr>
            <a:defRPr lang="en-US"/>
          </a:defPPr>
          <a:lvl1pPr algn="l" rtl="0" eaLnBrk="0" fontAlgn="base" hangingPunct="0">
            <a:spcBef>
              <a:spcPct val="0"/>
            </a:spcBef>
            <a:spcAft>
              <a:spcPct val="0"/>
            </a:spcAft>
            <a:defRPr sz="2400" kern="1200">
              <a:solidFill>
                <a:schemeClr val="tx1"/>
              </a:solidFill>
              <a:latin typeface="Arial" charset="0"/>
              <a:ea typeface="MS PGothic" pitchFamily="34" charset="-128"/>
              <a:cs typeface="+mn-cs"/>
            </a:defRPr>
          </a:lvl1pPr>
          <a:lvl2pPr marL="457200" algn="l" rtl="0" eaLnBrk="0" fontAlgn="base" hangingPunct="0">
            <a:spcBef>
              <a:spcPct val="0"/>
            </a:spcBef>
            <a:spcAft>
              <a:spcPct val="0"/>
            </a:spcAft>
            <a:defRPr sz="2400" kern="1200">
              <a:solidFill>
                <a:schemeClr val="tx1"/>
              </a:solidFill>
              <a:latin typeface="Arial" charset="0"/>
              <a:ea typeface="MS PGothic" pitchFamily="34" charset="-128"/>
              <a:cs typeface="+mn-cs"/>
            </a:defRPr>
          </a:lvl2pPr>
          <a:lvl3pPr marL="914400" algn="l" rtl="0" eaLnBrk="0" fontAlgn="base" hangingPunct="0">
            <a:spcBef>
              <a:spcPct val="0"/>
            </a:spcBef>
            <a:spcAft>
              <a:spcPct val="0"/>
            </a:spcAft>
            <a:defRPr sz="2400" kern="1200">
              <a:solidFill>
                <a:schemeClr val="tx1"/>
              </a:solidFill>
              <a:latin typeface="Arial" charset="0"/>
              <a:ea typeface="MS PGothic" pitchFamily="34" charset="-128"/>
              <a:cs typeface="+mn-cs"/>
            </a:defRPr>
          </a:lvl3pPr>
          <a:lvl4pPr marL="1371600" algn="l" rtl="0" eaLnBrk="0" fontAlgn="base" hangingPunct="0">
            <a:spcBef>
              <a:spcPct val="0"/>
            </a:spcBef>
            <a:spcAft>
              <a:spcPct val="0"/>
            </a:spcAft>
            <a:defRPr sz="2400" kern="1200">
              <a:solidFill>
                <a:schemeClr val="tx1"/>
              </a:solidFill>
              <a:latin typeface="Arial" charset="0"/>
              <a:ea typeface="MS PGothic" pitchFamily="34" charset="-128"/>
              <a:cs typeface="+mn-cs"/>
            </a:defRPr>
          </a:lvl4pPr>
          <a:lvl5pPr marL="1828800" algn="l" rtl="0" eaLnBrk="0" fontAlgn="base" hangingPunct="0">
            <a:spcBef>
              <a:spcPct val="0"/>
            </a:spcBef>
            <a:spcAft>
              <a:spcPct val="0"/>
            </a:spcAft>
            <a:defRPr sz="2400" kern="1200">
              <a:solidFill>
                <a:schemeClr val="tx1"/>
              </a:solidFill>
              <a:latin typeface="Arial" charset="0"/>
              <a:ea typeface="MS PGothic" pitchFamily="34" charset="-128"/>
              <a:cs typeface="+mn-cs"/>
            </a:defRPr>
          </a:lvl5pPr>
          <a:lvl6pPr marL="2286000" algn="l" defTabSz="914400" rtl="0" eaLnBrk="1" latinLnBrk="0" hangingPunct="1">
            <a:defRPr sz="2400" kern="1200">
              <a:solidFill>
                <a:schemeClr val="tx1"/>
              </a:solidFill>
              <a:latin typeface="Arial" charset="0"/>
              <a:ea typeface="MS PGothic" pitchFamily="34" charset="-128"/>
              <a:cs typeface="+mn-cs"/>
            </a:defRPr>
          </a:lvl6pPr>
          <a:lvl7pPr marL="2743200" algn="l" defTabSz="914400" rtl="0" eaLnBrk="1" latinLnBrk="0" hangingPunct="1">
            <a:defRPr sz="2400" kern="1200">
              <a:solidFill>
                <a:schemeClr val="tx1"/>
              </a:solidFill>
              <a:latin typeface="Arial" charset="0"/>
              <a:ea typeface="MS PGothic" pitchFamily="34" charset="-128"/>
              <a:cs typeface="+mn-cs"/>
            </a:defRPr>
          </a:lvl7pPr>
          <a:lvl8pPr marL="3200400" algn="l" defTabSz="914400" rtl="0" eaLnBrk="1" latinLnBrk="0" hangingPunct="1">
            <a:defRPr sz="2400" kern="1200">
              <a:solidFill>
                <a:schemeClr val="tx1"/>
              </a:solidFill>
              <a:latin typeface="Arial" charset="0"/>
              <a:ea typeface="MS PGothic" pitchFamily="34" charset="-128"/>
              <a:cs typeface="+mn-cs"/>
            </a:defRPr>
          </a:lvl8pPr>
          <a:lvl9pPr marL="3657600" algn="l" defTabSz="914400" rtl="0" eaLnBrk="1" latinLnBrk="0" hangingPunct="1">
            <a:defRPr sz="2400" kern="1200">
              <a:solidFill>
                <a:schemeClr val="tx1"/>
              </a:solidFill>
              <a:latin typeface="Arial" charset="0"/>
              <a:ea typeface="MS PGothic" pitchFamily="34" charset="-128"/>
              <a:cs typeface="+mn-cs"/>
            </a:defRPr>
          </a:lvl9pPr>
        </a:lstStyle>
        <a:p>
          <a:pPr lvl="0" eaLnBrk="1" hangingPunct="1">
            <a:lnSpc>
              <a:spcPct val="86000"/>
            </a:lnSpc>
            <a:defRPr/>
          </a:pPr>
          <a:r>
            <a:rPr lang="en-US" sz="2000" b="1" kern="0">
              <a:solidFill>
                <a:srgbClr val="000000"/>
              </a:solidFill>
              <a:latin typeface="Arial"/>
              <a:ea typeface="ＭＳ Ｐゴシック"/>
            </a:rPr>
            <a:t>SC Subprime Exposure as a Proportion of Total SHUSA Exposure</a:t>
          </a:r>
        </a:p>
        <a:p>
          <a:pPr lvl="0" eaLnBrk="1" hangingPunct="1">
            <a:lnSpc>
              <a:spcPct val="86000"/>
            </a:lnSpc>
            <a:defRPr/>
          </a:pPr>
          <a:r>
            <a:rPr lang="en-US" sz="1600" b="1" i="1" kern="0">
              <a:solidFill>
                <a:srgbClr val="000000"/>
              </a:solidFill>
              <a:latin typeface="Arial"/>
              <a:ea typeface="ＭＳ Ｐゴシック"/>
            </a:rPr>
            <a:t>Forecasted effects of GCB transfers</a:t>
          </a:r>
          <a:r>
            <a:rPr lang="en-US" sz="1600" b="1" i="1" kern="0" baseline="30000">
              <a:solidFill>
                <a:srgbClr val="000000"/>
              </a:solidFill>
              <a:latin typeface="Arial"/>
              <a:ea typeface="ＭＳ Ｐゴシック"/>
            </a:rPr>
            <a:t>1</a:t>
          </a:r>
          <a:r>
            <a:rPr lang="en-US" sz="1600" b="1" i="1" kern="0">
              <a:solidFill>
                <a:srgbClr val="000000"/>
              </a:solidFill>
              <a:latin typeface="Arial"/>
              <a:ea typeface="ＭＳ Ｐゴシック"/>
            </a:rPr>
            <a:t> and IHC inclusion</a:t>
          </a:r>
          <a:endParaRPr lang="en-US" sz="2000" b="1" i="1" kern="0">
            <a:solidFill>
              <a:srgbClr val="000000"/>
            </a:solidFill>
            <a:latin typeface="Arial"/>
            <a:ea typeface="ＭＳ Ｐゴシック"/>
          </a:endParaRPr>
        </a:p>
      </xdr:txBody>
    </xdr:sp>
    <xdr:clientData/>
  </xdr:twoCellAnchor>
  <xdr:twoCellAnchor>
    <xdr:from>
      <xdr:col>1</xdr:col>
      <xdr:colOff>0</xdr:colOff>
      <xdr:row>38</xdr:row>
      <xdr:rowOff>2972</xdr:rowOff>
    </xdr:from>
    <xdr:to>
      <xdr:col>1</xdr:col>
      <xdr:colOff>934720</xdr:colOff>
      <xdr:row>39</xdr:row>
      <xdr:rowOff>74082</xdr:rowOff>
    </xdr:to>
    <xdr:sp macro="" textlink="">
      <xdr:nvSpPr>
        <xdr:cNvPr id="6" name="TextBox 12"/>
        <xdr:cNvSpPr txBox="1"/>
      </xdr:nvSpPr>
      <xdr:spPr>
        <a:xfrm>
          <a:off x="190500" y="7477296"/>
          <a:ext cx="934720" cy="261610"/>
        </a:xfrm>
        <a:prstGeom prst="rect">
          <a:avLst/>
        </a:prstGeom>
        <a:noFill/>
      </xdr:spPr>
      <xdr:txBody>
        <a:bodyPr wrap="square" rtlCol="0">
          <a:spAutoFit/>
        </a:bodyPr>
        <a:lstStyle>
          <a:defPPr>
            <a:defRPr lang="en-US"/>
          </a:defPPr>
          <a:lvl1pPr algn="l" rtl="0" eaLnBrk="0" fontAlgn="base" hangingPunct="0">
            <a:spcBef>
              <a:spcPct val="0"/>
            </a:spcBef>
            <a:spcAft>
              <a:spcPct val="0"/>
            </a:spcAft>
            <a:defRPr sz="2400" kern="1200">
              <a:solidFill>
                <a:schemeClr val="tx1"/>
              </a:solidFill>
              <a:latin typeface="Arial" charset="0"/>
              <a:ea typeface="MS PGothic" pitchFamily="34" charset="-128"/>
              <a:cs typeface="+mn-cs"/>
            </a:defRPr>
          </a:lvl1pPr>
          <a:lvl2pPr marL="457200" algn="l" rtl="0" eaLnBrk="0" fontAlgn="base" hangingPunct="0">
            <a:spcBef>
              <a:spcPct val="0"/>
            </a:spcBef>
            <a:spcAft>
              <a:spcPct val="0"/>
            </a:spcAft>
            <a:defRPr sz="2400" kern="1200">
              <a:solidFill>
                <a:schemeClr val="tx1"/>
              </a:solidFill>
              <a:latin typeface="Arial" charset="0"/>
              <a:ea typeface="MS PGothic" pitchFamily="34" charset="-128"/>
              <a:cs typeface="+mn-cs"/>
            </a:defRPr>
          </a:lvl2pPr>
          <a:lvl3pPr marL="914400" algn="l" rtl="0" eaLnBrk="0" fontAlgn="base" hangingPunct="0">
            <a:spcBef>
              <a:spcPct val="0"/>
            </a:spcBef>
            <a:spcAft>
              <a:spcPct val="0"/>
            </a:spcAft>
            <a:defRPr sz="2400" kern="1200">
              <a:solidFill>
                <a:schemeClr val="tx1"/>
              </a:solidFill>
              <a:latin typeface="Arial" charset="0"/>
              <a:ea typeface="MS PGothic" pitchFamily="34" charset="-128"/>
              <a:cs typeface="+mn-cs"/>
            </a:defRPr>
          </a:lvl3pPr>
          <a:lvl4pPr marL="1371600" algn="l" rtl="0" eaLnBrk="0" fontAlgn="base" hangingPunct="0">
            <a:spcBef>
              <a:spcPct val="0"/>
            </a:spcBef>
            <a:spcAft>
              <a:spcPct val="0"/>
            </a:spcAft>
            <a:defRPr sz="2400" kern="1200">
              <a:solidFill>
                <a:schemeClr val="tx1"/>
              </a:solidFill>
              <a:latin typeface="Arial" charset="0"/>
              <a:ea typeface="MS PGothic" pitchFamily="34" charset="-128"/>
              <a:cs typeface="+mn-cs"/>
            </a:defRPr>
          </a:lvl4pPr>
          <a:lvl5pPr marL="1828800" algn="l" rtl="0" eaLnBrk="0" fontAlgn="base" hangingPunct="0">
            <a:spcBef>
              <a:spcPct val="0"/>
            </a:spcBef>
            <a:spcAft>
              <a:spcPct val="0"/>
            </a:spcAft>
            <a:defRPr sz="2400" kern="1200">
              <a:solidFill>
                <a:schemeClr val="tx1"/>
              </a:solidFill>
              <a:latin typeface="Arial" charset="0"/>
              <a:ea typeface="MS PGothic" pitchFamily="34" charset="-128"/>
              <a:cs typeface="+mn-cs"/>
            </a:defRPr>
          </a:lvl5pPr>
          <a:lvl6pPr marL="2286000" algn="l" defTabSz="914400" rtl="0" eaLnBrk="1" latinLnBrk="0" hangingPunct="1">
            <a:defRPr sz="2400" kern="1200">
              <a:solidFill>
                <a:schemeClr val="tx1"/>
              </a:solidFill>
              <a:latin typeface="Arial" charset="0"/>
              <a:ea typeface="MS PGothic" pitchFamily="34" charset="-128"/>
              <a:cs typeface="+mn-cs"/>
            </a:defRPr>
          </a:lvl6pPr>
          <a:lvl7pPr marL="2743200" algn="l" defTabSz="914400" rtl="0" eaLnBrk="1" latinLnBrk="0" hangingPunct="1">
            <a:defRPr sz="2400" kern="1200">
              <a:solidFill>
                <a:schemeClr val="tx1"/>
              </a:solidFill>
              <a:latin typeface="Arial" charset="0"/>
              <a:ea typeface="MS PGothic" pitchFamily="34" charset="-128"/>
              <a:cs typeface="+mn-cs"/>
            </a:defRPr>
          </a:lvl7pPr>
          <a:lvl8pPr marL="3200400" algn="l" defTabSz="914400" rtl="0" eaLnBrk="1" latinLnBrk="0" hangingPunct="1">
            <a:defRPr sz="2400" kern="1200">
              <a:solidFill>
                <a:schemeClr val="tx1"/>
              </a:solidFill>
              <a:latin typeface="Arial" charset="0"/>
              <a:ea typeface="MS PGothic" pitchFamily="34" charset="-128"/>
              <a:cs typeface="+mn-cs"/>
            </a:defRPr>
          </a:lvl8pPr>
          <a:lvl9pPr marL="3657600" algn="l" defTabSz="914400" rtl="0" eaLnBrk="1" latinLnBrk="0" hangingPunct="1">
            <a:defRPr sz="2400" kern="1200">
              <a:solidFill>
                <a:schemeClr val="tx1"/>
              </a:solidFill>
              <a:latin typeface="Arial" charset="0"/>
              <a:ea typeface="MS PGothic" pitchFamily="34" charset="-128"/>
              <a:cs typeface="+mn-cs"/>
            </a:defRPr>
          </a:lvl9pPr>
        </a:lstStyle>
        <a:p>
          <a:r>
            <a:rPr lang="en-US" sz="1050" i="1"/>
            <a:t>$ in billions</a:t>
          </a:r>
        </a:p>
      </xdr:txBody>
    </xdr:sp>
    <xdr:clientData/>
  </xdr:twoCellAnchor>
  <xdr:twoCellAnchor>
    <xdr:from>
      <xdr:col>1</xdr:col>
      <xdr:colOff>10160</xdr:colOff>
      <xdr:row>68</xdr:row>
      <xdr:rowOff>99492</xdr:rowOff>
    </xdr:from>
    <xdr:to>
      <xdr:col>4</xdr:col>
      <xdr:colOff>1051112</xdr:colOff>
      <xdr:row>70</xdr:row>
      <xdr:rowOff>87824</xdr:rowOff>
    </xdr:to>
    <xdr:sp macro="" textlink="">
      <xdr:nvSpPr>
        <xdr:cNvPr id="7" name="TextBox 14"/>
        <xdr:cNvSpPr txBox="1"/>
      </xdr:nvSpPr>
      <xdr:spPr>
        <a:xfrm>
          <a:off x="200660" y="13288816"/>
          <a:ext cx="6543040" cy="369332"/>
        </a:xfrm>
        <a:prstGeom prst="rect">
          <a:avLst/>
        </a:prstGeom>
        <a:noFill/>
      </xdr:spPr>
      <xdr:txBody>
        <a:bodyPr wrap="square" rtlCol="0">
          <a:spAutoFit/>
        </a:bodyPr>
        <a:lstStyle>
          <a:defPPr>
            <a:defRPr lang="en-US"/>
          </a:defPPr>
          <a:lvl1pPr algn="l" rtl="0" eaLnBrk="0" fontAlgn="base" hangingPunct="0">
            <a:spcBef>
              <a:spcPct val="0"/>
            </a:spcBef>
            <a:spcAft>
              <a:spcPct val="0"/>
            </a:spcAft>
            <a:defRPr sz="2400" kern="1200">
              <a:solidFill>
                <a:schemeClr val="tx1"/>
              </a:solidFill>
              <a:latin typeface="Arial" charset="0"/>
              <a:ea typeface="MS PGothic" pitchFamily="34" charset="-128"/>
              <a:cs typeface="+mn-cs"/>
            </a:defRPr>
          </a:lvl1pPr>
          <a:lvl2pPr marL="457200" algn="l" rtl="0" eaLnBrk="0" fontAlgn="base" hangingPunct="0">
            <a:spcBef>
              <a:spcPct val="0"/>
            </a:spcBef>
            <a:spcAft>
              <a:spcPct val="0"/>
            </a:spcAft>
            <a:defRPr sz="2400" kern="1200">
              <a:solidFill>
                <a:schemeClr val="tx1"/>
              </a:solidFill>
              <a:latin typeface="Arial" charset="0"/>
              <a:ea typeface="MS PGothic" pitchFamily="34" charset="-128"/>
              <a:cs typeface="+mn-cs"/>
            </a:defRPr>
          </a:lvl2pPr>
          <a:lvl3pPr marL="914400" algn="l" rtl="0" eaLnBrk="0" fontAlgn="base" hangingPunct="0">
            <a:spcBef>
              <a:spcPct val="0"/>
            </a:spcBef>
            <a:spcAft>
              <a:spcPct val="0"/>
            </a:spcAft>
            <a:defRPr sz="2400" kern="1200">
              <a:solidFill>
                <a:schemeClr val="tx1"/>
              </a:solidFill>
              <a:latin typeface="Arial" charset="0"/>
              <a:ea typeface="MS PGothic" pitchFamily="34" charset="-128"/>
              <a:cs typeface="+mn-cs"/>
            </a:defRPr>
          </a:lvl3pPr>
          <a:lvl4pPr marL="1371600" algn="l" rtl="0" eaLnBrk="0" fontAlgn="base" hangingPunct="0">
            <a:spcBef>
              <a:spcPct val="0"/>
            </a:spcBef>
            <a:spcAft>
              <a:spcPct val="0"/>
            </a:spcAft>
            <a:defRPr sz="2400" kern="1200">
              <a:solidFill>
                <a:schemeClr val="tx1"/>
              </a:solidFill>
              <a:latin typeface="Arial" charset="0"/>
              <a:ea typeface="MS PGothic" pitchFamily="34" charset="-128"/>
              <a:cs typeface="+mn-cs"/>
            </a:defRPr>
          </a:lvl4pPr>
          <a:lvl5pPr marL="1828800" algn="l" rtl="0" eaLnBrk="0" fontAlgn="base" hangingPunct="0">
            <a:spcBef>
              <a:spcPct val="0"/>
            </a:spcBef>
            <a:spcAft>
              <a:spcPct val="0"/>
            </a:spcAft>
            <a:defRPr sz="2400" kern="1200">
              <a:solidFill>
                <a:schemeClr val="tx1"/>
              </a:solidFill>
              <a:latin typeface="Arial" charset="0"/>
              <a:ea typeface="MS PGothic" pitchFamily="34" charset="-128"/>
              <a:cs typeface="+mn-cs"/>
            </a:defRPr>
          </a:lvl5pPr>
          <a:lvl6pPr marL="2286000" algn="l" defTabSz="914400" rtl="0" eaLnBrk="1" latinLnBrk="0" hangingPunct="1">
            <a:defRPr sz="2400" kern="1200">
              <a:solidFill>
                <a:schemeClr val="tx1"/>
              </a:solidFill>
              <a:latin typeface="Arial" charset="0"/>
              <a:ea typeface="MS PGothic" pitchFamily="34" charset="-128"/>
              <a:cs typeface="+mn-cs"/>
            </a:defRPr>
          </a:lvl6pPr>
          <a:lvl7pPr marL="2743200" algn="l" defTabSz="914400" rtl="0" eaLnBrk="1" latinLnBrk="0" hangingPunct="1">
            <a:defRPr sz="2400" kern="1200">
              <a:solidFill>
                <a:schemeClr val="tx1"/>
              </a:solidFill>
              <a:latin typeface="Arial" charset="0"/>
              <a:ea typeface="MS PGothic" pitchFamily="34" charset="-128"/>
              <a:cs typeface="+mn-cs"/>
            </a:defRPr>
          </a:lvl7pPr>
          <a:lvl8pPr marL="3200400" algn="l" defTabSz="914400" rtl="0" eaLnBrk="1" latinLnBrk="0" hangingPunct="1">
            <a:defRPr sz="2400" kern="1200">
              <a:solidFill>
                <a:schemeClr val="tx1"/>
              </a:solidFill>
              <a:latin typeface="Arial" charset="0"/>
              <a:ea typeface="MS PGothic" pitchFamily="34" charset="-128"/>
              <a:cs typeface="+mn-cs"/>
            </a:defRPr>
          </a:lvl8pPr>
          <a:lvl9pPr marL="3657600" algn="l" defTabSz="914400" rtl="0" eaLnBrk="1" latinLnBrk="0" hangingPunct="1">
            <a:defRPr sz="2400" kern="1200">
              <a:solidFill>
                <a:schemeClr val="tx1"/>
              </a:solidFill>
              <a:latin typeface="Arial" charset="0"/>
              <a:ea typeface="MS PGothic" pitchFamily="34" charset="-128"/>
              <a:cs typeface="+mn-cs"/>
            </a:defRPr>
          </a:lvl9pPr>
        </a:lstStyle>
        <a:p>
          <a:r>
            <a:rPr lang="en-US" sz="900" baseline="30000"/>
            <a:t>1</a:t>
          </a:r>
          <a:r>
            <a:rPr lang="en-US" sz="900"/>
            <a:t>GCB transfers expected to total $7.1 bn by 6/30/16; projected transfers of $2.8 bn in March, $3.6 bn in May, and remaining $0.7 bn in June</a:t>
          </a:r>
        </a:p>
      </xdr:txBody>
    </xdr:sp>
    <xdr:clientData/>
  </xdr:twoCellAnchor>
  <xdr:twoCellAnchor editAs="oneCell">
    <xdr:from>
      <xdr:col>1</xdr:col>
      <xdr:colOff>0</xdr:colOff>
      <xdr:row>39</xdr:row>
      <xdr:rowOff>0</xdr:rowOff>
    </xdr:from>
    <xdr:to>
      <xdr:col>6</xdr:col>
      <xdr:colOff>715235</xdr:colOff>
      <xdr:row>60</xdr:row>
      <xdr:rowOff>126850</xdr:rowOff>
    </xdr:to>
    <xdr:pic>
      <xdr:nvPicPr>
        <xdr:cNvPr id="10" name="Picture 9"/>
        <xdr:cNvPicPr>
          <a:picLocks noChangeAspect="1"/>
        </xdr:cNvPicPr>
      </xdr:nvPicPr>
      <xdr:blipFill>
        <a:blip xmlns:r="http://schemas.openxmlformats.org/officeDocument/2006/relationships" r:embed="rId2"/>
        <a:stretch>
          <a:fillRect/>
        </a:stretch>
      </xdr:blipFill>
      <xdr:spPr>
        <a:xfrm>
          <a:off x="190500" y="7664824"/>
          <a:ext cx="8626588" cy="4127350"/>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xdr:from>
      <xdr:col>8</xdr:col>
      <xdr:colOff>1282302</xdr:colOff>
      <xdr:row>333</xdr:row>
      <xdr:rowOff>217882</xdr:rowOff>
    </xdr:from>
    <xdr:to>
      <xdr:col>22</xdr:col>
      <xdr:colOff>466725</xdr:colOff>
      <xdr:row>351</xdr:row>
      <xdr:rowOff>226218</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1282302</xdr:colOff>
      <xdr:row>333</xdr:row>
      <xdr:rowOff>217882</xdr:rowOff>
    </xdr:from>
    <xdr:to>
      <xdr:col>22</xdr:col>
      <xdr:colOff>466725</xdr:colOff>
      <xdr:row>351</xdr:row>
      <xdr:rowOff>226218</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1</xdr:col>
      <xdr:colOff>56028</xdr:colOff>
      <xdr:row>13</xdr:row>
      <xdr:rowOff>78442</xdr:rowOff>
    </xdr:from>
    <xdr:to>
      <xdr:col>9</xdr:col>
      <xdr:colOff>1143000</xdr:colOff>
      <xdr:row>30</xdr:row>
      <xdr:rowOff>100854</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1</xdr:col>
      <xdr:colOff>459440</xdr:colOff>
      <xdr:row>5</xdr:row>
      <xdr:rowOff>11206</xdr:rowOff>
    </xdr:from>
    <xdr:to>
      <xdr:col>9</xdr:col>
      <xdr:colOff>1042147</xdr:colOff>
      <xdr:row>25</xdr:row>
      <xdr:rowOff>100852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1</xdr:col>
      <xdr:colOff>33617</xdr:colOff>
      <xdr:row>6</xdr:row>
      <xdr:rowOff>11206</xdr:rowOff>
    </xdr:from>
    <xdr:to>
      <xdr:col>11</xdr:col>
      <xdr:colOff>560294</xdr:colOff>
      <xdr:row>28</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xdr:from>
      <xdr:col>1</xdr:col>
      <xdr:colOff>95250</xdr:colOff>
      <xdr:row>4</xdr:row>
      <xdr:rowOff>114300</xdr:rowOff>
    </xdr:from>
    <xdr:to>
      <xdr:col>12</xdr:col>
      <xdr:colOff>133350</xdr:colOff>
      <xdr:row>27</xdr:row>
      <xdr:rowOff>80682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6.xml><?xml version="1.0" encoding="utf-8"?>
<xdr:wsDr xmlns:xdr="http://schemas.openxmlformats.org/drawingml/2006/spreadsheetDrawing" xmlns:a="http://schemas.openxmlformats.org/drawingml/2006/main">
  <xdr:twoCellAnchor>
    <xdr:from>
      <xdr:col>1</xdr:col>
      <xdr:colOff>65315</xdr:colOff>
      <xdr:row>4</xdr:row>
      <xdr:rowOff>0</xdr:rowOff>
    </xdr:from>
    <xdr:to>
      <xdr:col>14</xdr:col>
      <xdr:colOff>332015</xdr:colOff>
      <xdr:row>26</xdr:row>
      <xdr:rowOff>151439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1624852</xdr:colOff>
      <xdr:row>6</xdr:row>
      <xdr:rowOff>78440</xdr:rowOff>
    </xdr:from>
    <xdr:to>
      <xdr:col>11</xdr:col>
      <xdr:colOff>100853</xdr:colOff>
      <xdr:row>33</xdr:row>
      <xdr:rowOff>168087</xdr:rowOff>
    </xdr:to>
    <xdr:graphicFrame macro="">
      <xdr:nvGraphicFramePr>
        <xdr:cNvPr id="4" name="Chart 3" title="="/>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705970</xdr:colOff>
      <xdr:row>6</xdr:row>
      <xdr:rowOff>67235</xdr:rowOff>
    </xdr:from>
    <xdr:to>
      <xdr:col>9</xdr:col>
      <xdr:colOff>616323</xdr:colOff>
      <xdr:row>28</xdr:row>
      <xdr:rowOff>134470</xdr:rowOff>
    </xdr:to>
    <xdr:graphicFrame macro="">
      <xdr:nvGraphicFramePr>
        <xdr:cNvPr id="2" name="Chart 1" title="="/>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1512794</xdr:colOff>
      <xdr:row>6</xdr:row>
      <xdr:rowOff>123265</xdr:rowOff>
    </xdr:from>
    <xdr:to>
      <xdr:col>10</xdr:col>
      <xdr:colOff>773206</xdr:colOff>
      <xdr:row>29</xdr:row>
      <xdr:rowOff>89647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xdr:col>
      <xdr:colOff>0</xdr:colOff>
      <xdr:row>7</xdr:row>
      <xdr:rowOff>0</xdr:rowOff>
    </xdr:from>
    <xdr:to>
      <xdr:col>9</xdr:col>
      <xdr:colOff>1266265</xdr:colOff>
      <xdr:row>26</xdr:row>
      <xdr:rowOff>156882</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57665</xdr:colOff>
      <xdr:row>0</xdr:row>
      <xdr:rowOff>0</xdr:rowOff>
    </xdr:from>
    <xdr:to>
      <xdr:col>10</xdr:col>
      <xdr:colOff>634986</xdr:colOff>
      <xdr:row>2</xdr:row>
      <xdr:rowOff>128290</xdr:rowOff>
    </xdr:to>
    <xdr:sp macro="" textlink="">
      <xdr:nvSpPr>
        <xdr:cNvPr id="2" name="TextBox 3"/>
        <xdr:cNvSpPr txBox="1"/>
      </xdr:nvSpPr>
      <xdr:spPr>
        <a:xfrm>
          <a:off x="57665" y="5834063"/>
          <a:ext cx="8983134" cy="461665"/>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eaLnBrk="0" fontAlgn="base" hangingPunct="0">
            <a:spcBef>
              <a:spcPct val="0"/>
            </a:spcBef>
            <a:spcAft>
              <a:spcPct val="0"/>
            </a:spcAft>
          </a:pPr>
          <a:r>
            <a:rPr lang="en-US" sz="2400" b="1">
              <a:solidFill>
                <a:prstClr val="black"/>
              </a:solidFill>
              <a:latin typeface="Arial" charset="0"/>
              <a:ea typeface="MS PGothic" pitchFamily="34" charset="-128"/>
            </a:rPr>
            <a:t>Available Committed Liquidity Proposed Enhancement</a:t>
          </a:r>
        </a:p>
      </xdr:txBody>
    </xdr:sp>
    <xdr:clientData/>
  </xdr:twoCellAnchor>
  <xdr:twoCellAnchor>
    <xdr:from>
      <xdr:col>0</xdr:col>
      <xdr:colOff>0</xdr:colOff>
      <xdr:row>3</xdr:row>
      <xdr:rowOff>112122</xdr:rowOff>
    </xdr:from>
    <xdr:to>
      <xdr:col>10</xdr:col>
      <xdr:colOff>310564</xdr:colOff>
      <xdr:row>35</xdr:row>
      <xdr:rowOff>41101</xdr:rowOff>
    </xdr:to>
    <xdr:sp macro="" textlink="">
      <xdr:nvSpPr>
        <xdr:cNvPr id="3" name="TextBox 5"/>
        <xdr:cNvSpPr txBox="1"/>
      </xdr:nvSpPr>
      <xdr:spPr>
        <a:xfrm>
          <a:off x="0" y="6446247"/>
          <a:ext cx="8716377" cy="5262979"/>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eaLnBrk="0" fontAlgn="base" hangingPunct="0">
            <a:spcBef>
              <a:spcPct val="0"/>
            </a:spcBef>
            <a:spcAft>
              <a:spcPct val="0"/>
            </a:spcAft>
          </a:pPr>
          <a:r>
            <a:rPr lang="en-US" sz="1400" b="1">
              <a:solidFill>
                <a:prstClr val="black"/>
              </a:solidFill>
              <a:latin typeface="Arial" charset="0"/>
              <a:ea typeface="MS PGothic" pitchFamily="34" charset="-128"/>
            </a:rPr>
            <a:t>Background</a:t>
          </a:r>
        </a:p>
        <a:p>
          <a:pPr marL="285750" indent="-285750" eaLnBrk="0" fontAlgn="base" hangingPunct="0">
            <a:spcBef>
              <a:spcPct val="0"/>
            </a:spcBef>
            <a:spcAft>
              <a:spcPct val="0"/>
            </a:spcAft>
            <a:buFont typeface="Arial" panose="020B0604020202020204" pitchFamily="34" charset="0"/>
            <a:buChar char="•"/>
          </a:pPr>
          <a:r>
            <a:rPr lang="en-US" sz="1400">
              <a:latin typeface="Arial" charset="0"/>
              <a:ea typeface="MS PGothic" pitchFamily="34" charset="-128"/>
            </a:rPr>
            <a:t>Available Committed Liquidity (“ACL”) is a SC Risk Appetite Statement (“RAS”) established to evaluate SC’s committed liquidity position against projected net origination needs under normal conditions.</a:t>
          </a:r>
        </a:p>
        <a:p>
          <a:pPr marL="285750" indent="-285750" eaLnBrk="0" fontAlgn="base" hangingPunct="0">
            <a:spcBef>
              <a:spcPct val="0"/>
            </a:spcBef>
            <a:spcAft>
              <a:spcPct val="0"/>
            </a:spcAft>
            <a:buFont typeface="Arial" panose="020B0604020202020204" pitchFamily="34" charset="0"/>
            <a:buChar char="•"/>
          </a:pPr>
          <a:endParaRPr lang="en-US" sz="1400" b="1">
            <a:latin typeface="Arial" charset="0"/>
            <a:ea typeface="MS PGothic" pitchFamily="34" charset="-128"/>
          </a:endParaRPr>
        </a:p>
        <a:p>
          <a:pPr marL="285750" indent="-285750" eaLnBrk="0" fontAlgn="base" hangingPunct="0">
            <a:spcBef>
              <a:spcPct val="0"/>
            </a:spcBef>
            <a:spcAft>
              <a:spcPct val="0"/>
            </a:spcAft>
            <a:buFont typeface="Arial" panose="020B0604020202020204" pitchFamily="34" charset="0"/>
            <a:buChar char="•"/>
          </a:pPr>
          <a:r>
            <a:rPr lang="en-US" sz="1400" b="1">
              <a:latin typeface="Arial" charset="0"/>
              <a:ea typeface="MS PGothic" pitchFamily="34" charset="-128"/>
            </a:rPr>
            <a:t>Committed liquidity is currently defined as:</a:t>
          </a:r>
        </a:p>
        <a:p>
          <a:pPr marL="285750" indent="-285750" eaLnBrk="0" fontAlgn="base" hangingPunct="0">
            <a:spcBef>
              <a:spcPct val="0"/>
            </a:spcBef>
            <a:spcAft>
              <a:spcPct val="0"/>
            </a:spcAft>
            <a:buFont typeface="Arial" panose="020B0604020202020204" pitchFamily="34" charset="0"/>
            <a:buChar char="•"/>
          </a:pPr>
          <a:endParaRPr lang="en-US" sz="1400" b="1">
            <a:latin typeface="Arial" charset="0"/>
            <a:ea typeface="MS PGothic" pitchFamily="34" charset="-128"/>
          </a:endParaRPr>
        </a:p>
        <a:p>
          <a:pPr algn="ctr" eaLnBrk="0" fontAlgn="base" hangingPunct="0">
            <a:spcBef>
              <a:spcPct val="0"/>
            </a:spcBef>
            <a:spcAft>
              <a:spcPct val="0"/>
            </a:spcAft>
          </a:pPr>
          <a:r>
            <a:rPr lang="en-US" sz="1400">
              <a:latin typeface="Arial" charset="0"/>
              <a:ea typeface="MS PGothic" pitchFamily="34" charset="-128"/>
            </a:rPr>
            <a:t>Available warehouse line capacity (+) BSNY line capacity</a:t>
          </a:r>
          <a:r>
            <a:rPr lang="en-US" sz="1400" baseline="30000">
              <a:latin typeface="Arial" charset="0"/>
              <a:ea typeface="MS PGothic" pitchFamily="34" charset="-128"/>
            </a:rPr>
            <a:t>1</a:t>
          </a:r>
        </a:p>
        <a:p>
          <a:pPr algn="ctr" eaLnBrk="0" fontAlgn="base" hangingPunct="0">
            <a:spcBef>
              <a:spcPct val="0"/>
            </a:spcBef>
            <a:spcAft>
              <a:spcPct val="0"/>
            </a:spcAft>
          </a:pPr>
          <a:endParaRPr lang="en-US" sz="1400">
            <a:latin typeface="Arial" charset="0"/>
            <a:ea typeface="MS PGothic" pitchFamily="34" charset="-128"/>
          </a:endParaRPr>
        </a:p>
        <a:p>
          <a:pPr algn="ctr" eaLnBrk="0" fontAlgn="base" hangingPunct="0">
            <a:spcBef>
              <a:spcPct val="0"/>
            </a:spcBef>
            <a:spcAft>
              <a:spcPct val="0"/>
            </a:spcAft>
          </a:pPr>
          <a:r>
            <a:rPr lang="en-US" sz="1400">
              <a:latin typeface="Arial" charset="0"/>
              <a:ea typeface="MS PGothic" pitchFamily="34" charset="-128"/>
            </a:rPr>
            <a:t>Average 6 month forecasted monthly gross originations (–) principal paydowns</a:t>
          </a:r>
        </a:p>
        <a:p>
          <a:pPr algn="ctr" eaLnBrk="0" fontAlgn="base" hangingPunct="0">
            <a:spcBef>
              <a:spcPct val="0"/>
            </a:spcBef>
            <a:spcAft>
              <a:spcPct val="0"/>
            </a:spcAft>
          </a:pPr>
          <a:r>
            <a:rPr lang="en-US" sz="1400">
              <a:latin typeface="Arial" charset="0"/>
              <a:ea typeface="MS PGothic" pitchFamily="34" charset="-128"/>
            </a:rPr>
            <a:t>(–) subvention/discount (–) flow agreements</a:t>
          </a:r>
        </a:p>
        <a:p>
          <a:pPr marL="285750" indent="-285750" eaLnBrk="0" fontAlgn="base" hangingPunct="0">
            <a:spcBef>
              <a:spcPct val="0"/>
            </a:spcBef>
            <a:spcAft>
              <a:spcPct val="0"/>
            </a:spcAft>
            <a:buFont typeface="Arial" panose="020B0604020202020204" pitchFamily="34" charset="0"/>
            <a:buChar char="•"/>
          </a:pPr>
          <a:endParaRPr lang="en-US" sz="1400" b="1">
            <a:latin typeface="Arial" charset="0"/>
            <a:ea typeface="MS PGothic" pitchFamily="34" charset="-128"/>
          </a:endParaRPr>
        </a:p>
        <a:p>
          <a:pPr eaLnBrk="0" fontAlgn="base" hangingPunct="0">
            <a:spcBef>
              <a:spcPct val="0"/>
            </a:spcBef>
            <a:spcAft>
              <a:spcPct val="0"/>
            </a:spcAft>
          </a:pPr>
          <a:r>
            <a:rPr lang="en-US" sz="1400" b="1">
              <a:latin typeface="Arial" charset="0"/>
              <a:ea typeface="MS PGothic" pitchFamily="34" charset="-128"/>
            </a:rPr>
            <a:t>Proposed Enhancements</a:t>
          </a:r>
        </a:p>
        <a:p>
          <a:pPr eaLnBrk="0" fontAlgn="base" hangingPunct="0">
            <a:spcBef>
              <a:spcPct val="0"/>
            </a:spcBef>
            <a:spcAft>
              <a:spcPct val="0"/>
            </a:spcAft>
          </a:pPr>
          <a:endParaRPr lang="en-US" sz="1400" b="1">
            <a:latin typeface="Arial" charset="0"/>
            <a:ea typeface="MS PGothic" pitchFamily="34" charset="-128"/>
          </a:endParaRPr>
        </a:p>
        <a:p>
          <a:pPr marL="285750" indent="-285750" eaLnBrk="0" fontAlgn="base" hangingPunct="0">
            <a:spcBef>
              <a:spcPct val="0"/>
            </a:spcBef>
            <a:spcAft>
              <a:spcPct val="0"/>
            </a:spcAft>
            <a:buFont typeface="Arial" panose="020B0604020202020204" pitchFamily="34" charset="0"/>
            <a:buChar char="•"/>
          </a:pPr>
          <a:r>
            <a:rPr lang="en-US" sz="1400" u="sng">
              <a:latin typeface="Arial" charset="0"/>
              <a:ea typeface="MS PGothic" pitchFamily="34" charset="-128"/>
            </a:rPr>
            <a:t>Updated Cash Flows</a:t>
          </a:r>
          <a:r>
            <a:rPr lang="en-US" sz="1400">
              <a:latin typeface="Arial" charset="0"/>
              <a:ea typeface="MS PGothic" pitchFamily="34" charset="-128"/>
            </a:rPr>
            <a:t>: SC has enhanced the cash flow component of the calculation to better reflect relevant liquidity items.</a:t>
          </a:r>
        </a:p>
        <a:p>
          <a:pPr marL="742950" lvl="1" indent="-285750" eaLnBrk="0" fontAlgn="base" hangingPunct="0">
            <a:spcBef>
              <a:spcPct val="0"/>
            </a:spcBef>
            <a:spcAft>
              <a:spcPct val="0"/>
            </a:spcAft>
            <a:buFont typeface="Arial" panose="020B0604020202020204" pitchFamily="34" charset="0"/>
            <a:buChar char="•"/>
          </a:pPr>
          <a:r>
            <a:rPr lang="en-US" sz="1400">
              <a:latin typeface="Arial" charset="0"/>
              <a:ea typeface="MS PGothic" pitchFamily="34" charset="-128"/>
            </a:rPr>
            <a:t>Remove restricted securitization principal paydowns (ABS + SCARF)</a:t>
          </a:r>
        </a:p>
        <a:p>
          <a:pPr marL="742950" lvl="1" indent="-285750" eaLnBrk="0" fontAlgn="base" hangingPunct="0">
            <a:spcBef>
              <a:spcPct val="0"/>
            </a:spcBef>
            <a:spcAft>
              <a:spcPct val="0"/>
            </a:spcAft>
            <a:buFont typeface="Arial" panose="020B0604020202020204" pitchFamily="34" charset="0"/>
            <a:buChar char="•"/>
          </a:pPr>
          <a:r>
            <a:rPr lang="en-US" sz="1400">
              <a:latin typeface="Arial" charset="0"/>
              <a:ea typeface="MS PGothic" pitchFamily="34" charset="-128"/>
            </a:rPr>
            <a:t>Add net interest income</a:t>
          </a:r>
        </a:p>
        <a:p>
          <a:pPr marL="742950" lvl="1" indent="-285750" eaLnBrk="0" fontAlgn="base" hangingPunct="0">
            <a:spcBef>
              <a:spcPct val="0"/>
            </a:spcBef>
            <a:spcAft>
              <a:spcPct val="0"/>
            </a:spcAft>
            <a:buFont typeface="Arial" panose="020B0604020202020204" pitchFamily="34" charset="0"/>
            <a:buChar char="•"/>
          </a:pPr>
          <a:r>
            <a:rPr lang="en-US" sz="1400">
              <a:latin typeface="Arial" charset="0"/>
              <a:ea typeface="MS PGothic" pitchFamily="34" charset="-128"/>
            </a:rPr>
            <a:t>Add operating expenses</a:t>
          </a:r>
        </a:p>
        <a:p>
          <a:pPr marL="742950" lvl="1" indent="-285750" eaLnBrk="0" fontAlgn="base" hangingPunct="0">
            <a:spcBef>
              <a:spcPct val="0"/>
            </a:spcBef>
            <a:spcAft>
              <a:spcPct val="0"/>
            </a:spcAft>
            <a:buFont typeface="Arial" panose="020B0604020202020204" pitchFamily="34" charset="0"/>
            <a:buChar char="•"/>
          </a:pPr>
          <a:r>
            <a:rPr lang="en-US" sz="1400">
              <a:latin typeface="Arial" charset="0"/>
              <a:ea typeface="MS PGothic" pitchFamily="34" charset="-128"/>
            </a:rPr>
            <a:t>Add servicing revenue &amp; fees</a:t>
          </a:r>
        </a:p>
        <a:p>
          <a:pPr marL="742950" lvl="1" indent="-285750" eaLnBrk="0" fontAlgn="base" hangingPunct="0">
            <a:spcBef>
              <a:spcPct val="0"/>
            </a:spcBef>
            <a:spcAft>
              <a:spcPct val="0"/>
            </a:spcAft>
            <a:buFont typeface="Arial" panose="020B0604020202020204" pitchFamily="34" charset="0"/>
            <a:buChar char="•"/>
          </a:pPr>
          <a:r>
            <a:rPr lang="en-US" sz="1400">
              <a:latin typeface="Arial" charset="0"/>
              <a:ea typeface="MS PGothic" pitchFamily="34" charset="-128"/>
            </a:rPr>
            <a:t>Add income taxes</a:t>
          </a:r>
        </a:p>
        <a:p>
          <a:pPr marL="742950" lvl="1" indent="-285750" eaLnBrk="0" fontAlgn="base" hangingPunct="0">
            <a:spcBef>
              <a:spcPct val="0"/>
            </a:spcBef>
            <a:spcAft>
              <a:spcPct val="0"/>
            </a:spcAft>
            <a:buFont typeface="Arial" panose="020B0604020202020204" pitchFamily="34" charset="0"/>
            <a:buChar char="•"/>
          </a:pPr>
          <a:endParaRPr lang="en-US" sz="1400">
            <a:latin typeface="Arial" charset="0"/>
            <a:ea typeface="MS PGothic" pitchFamily="34" charset="-128"/>
          </a:endParaRPr>
        </a:p>
        <a:p>
          <a:pPr marL="285750" indent="-285750" eaLnBrk="0" fontAlgn="base" hangingPunct="0">
            <a:spcBef>
              <a:spcPct val="0"/>
            </a:spcBef>
            <a:spcAft>
              <a:spcPct val="0"/>
            </a:spcAft>
            <a:buFont typeface="Arial" panose="020B0604020202020204" pitchFamily="34" charset="0"/>
            <a:buChar char="•"/>
          </a:pPr>
          <a:r>
            <a:rPr lang="en-US" sz="1400" u="sng">
              <a:latin typeface="Arial" charset="0"/>
              <a:ea typeface="MS PGothic" pitchFamily="34" charset="-128"/>
            </a:rPr>
            <a:t>Revised Limits</a:t>
          </a:r>
          <a:r>
            <a:rPr lang="en-US" sz="1400">
              <a:latin typeface="Arial" charset="0"/>
              <a:ea typeface="MS PGothic" pitchFamily="34" charset="-128"/>
            </a:rPr>
            <a:t>:</a:t>
          </a:r>
        </a:p>
        <a:p>
          <a:pPr marL="742950" lvl="1" indent="-285750" eaLnBrk="0" fontAlgn="base" hangingPunct="0">
            <a:spcBef>
              <a:spcPct val="0"/>
            </a:spcBef>
            <a:spcAft>
              <a:spcPct val="0"/>
            </a:spcAft>
            <a:buFont typeface="Arial" panose="020B0604020202020204" pitchFamily="34" charset="0"/>
            <a:buChar char="•"/>
          </a:pPr>
          <a:r>
            <a:rPr lang="en-US" sz="1400">
              <a:latin typeface="Arial" charset="0"/>
              <a:ea typeface="MS PGothic" pitchFamily="34" charset="-128"/>
            </a:rPr>
            <a:t>Amber/Red = 4.0/3.0 months liquidity coverage</a:t>
          </a:r>
        </a:p>
        <a:p>
          <a:pPr marL="742950" lvl="1" indent="-285750" eaLnBrk="0" fontAlgn="base" hangingPunct="0">
            <a:spcBef>
              <a:spcPct val="0"/>
            </a:spcBef>
            <a:spcAft>
              <a:spcPct val="0"/>
            </a:spcAft>
            <a:buFont typeface="Arial" panose="020B0604020202020204" pitchFamily="34" charset="0"/>
            <a:buChar char="•"/>
          </a:pPr>
          <a:r>
            <a:rPr lang="en-US" sz="1400">
              <a:latin typeface="Arial" charset="0"/>
              <a:ea typeface="MS PGothic" pitchFamily="34" charset="-128"/>
            </a:rPr>
            <a:t>Aligns to EPS LST standards</a:t>
          </a:r>
        </a:p>
      </xdr:txBody>
    </xdr:sp>
    <xdr:clientData/>
  </xdr:twoCellAnchor>
  <xdr:twoCellAnchor>
    <xdr:from>
      <xdr:col>0</xdr:col>
      <xdr:colOff>448039</xdr:colOff>
      <xdr:row>13</xdr:row>
      <xdr:rowOff>97612</xdr:rowOff>
    </xdr:from>
    <xdr:to>
      <xdr:col>9</xdr:col>
      <xdr:colOff>576898</xdr:colOff>
      <xdr:row>13</xdr:row>
      <xdr:rowOff>106319</xdr:rowOff>
    </xdr:to>
    <xdr:cxnSp macro="">
      <xdr:nvCxnSpPr>
        <xdr:cNvPr id="4" name="Straight Connector 3"/>
        <xdr:cNvCxnSpPr/>
      </xdr:nvCxnSpPr>
      <xdr:spPr>
        <a:xfrm>
          <a:off x="448039" y="8098612"/>
          <a:ext cx="7820297" cy="8707"/>
        </a:xfrm>
        <a:prstGeom prst="line">
          <a:avLst/>
        </a:prstGeom>
        <a:ln w="15875"/>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57665</xdr:colOff>
      <xdr:row>36</xdr:row>
      <xdr:rowOff>92089</xdr:rowOff>
    </xdr:from>
    <xdr:to>
      <xdr:col>7</xdr:col>
      <xdr:colOff>369064</xdr:colOff>
      <xdr:row>38</xdr:row>
      <xdr:rowOff>158824</xdr:rowOff>
    </xdr:to>
    <xdr:sp macro="" textlink="">
      <xdr:nvSpPr>
        <xdr:cNvPr id="5" name="TextBox 6"/>
        <xdr:cNvSpPr txBox="1"/>
      </xdr:nvSpPr>
      <xdr:spPr>
        <a:xfrm>
          <a:off x="57665" y="11926902"/>
          <a:ext cx="6609805" cy="400110"/>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baseline="30000"/>
            <a:t>1</a:t>
          </a:r>
          <a:r>
            <a:rPr lang="en-US" sz="1000"/>
            <a:t> $1.5BN SHUSA back-up lines available in calculation through September 2016. SHUSA back-up line is not included as committed liquidity under normal scenarios and only available as contingent funding source. </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33618</xdr:colOff>
      <xdr:row>4</xdr:row>
      <xdr:rowOff>179294</xdr:rowOff>
    </xdr:from>
    <xdr:to>
      <xdr:col>10</xdr:col>
      <xdr:colOff>302559</xdr:colOff>
      <xdr:row>30</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0</xdr:col>
      <xdr:colOff>225238</xdr:colOff>
      <xdr:row>6</xdr:row>
      <xdr:rowOff>134472</xdr:rowOff>
    </xdr:from>
    <xdr:to>
      <xdr:col>10</xdr:col>
      <xdr:colOff>1030941</xdr:colOff>
      <xdr:row>30</xdr:row>
      <xdr:rowOff>156884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5</xdr:col>
      <xdr:colOff>416377</xdr:colOff>
      <xdr:row>6</xdr:row>
      <xdr:rowOff>149677</xdr:rowOff>
    </xdr:from>
    <xdr:to>
      <xdr:col>14</xdr:col>
      <xdr:colOff>368193</xdr:colOff>
      <xdr:row>32</xdr:row>
      <xdr:rowOff>132869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fs.com\root\Dept-EntRiskMgmt\02%20Reporting%20-%20RDA\08%20Risk%20Appetite\03.%20Reporting\04%20April%202016\Supporting%20Data\Strategic\Balance%20w.%20FICO_201603.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Wanxin.Cheng/Desktop/SHUSA/Risk%20Appetite/1%20Data/1%20Internal%20Data/Capital%20Plan/FRY-14A%20(AllBusinesses-AllScenarios)_04192016_Restatement_v1_WC.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n788036/Downloads/3421cea7c2b443d59ac25cfa08f5211d.WzI3MTM2NTkxMDQwNDY2MTI0OCwyMjkzNDA2NjA3NjIwMTc3OTIsdHJ1ZSwidXMyLnZlbmEuaW86NDQzIl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16"/>
      <sheetName val="2015"/>
      <sheetName val="Code"/>
    </sheetNames>
    <sheetDataSet>
      <sheetData sheetId="0"/>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lanceSheet"/>
      <sheetName val="Existing SHUSA"/>
      <sheetName val="Hold Co."/>
      <sheetName val="SBNA"/>
      <sheetName val="Eliminations - SBNASCUSA"/>
      <sheetName val="SCUSA unadjusted"/>
      <sheetName val="PAMs"/>
      <sheetName val="SSLLC"/>
      <sheetName val="SIS"/>
      <sheetName val="BSPR"/>
      <sheetName val="BSI"/>
      <sheetName val="IncomeStatement"/>
      <sheetName val="Existing SHUSA 2"/>
      <sheetName val="Hold Co. 2"/>
      <sheetName val="SBNA 2"/>
      <sheetName val="Eliminations - SBNASCUSA 2"/>
      <sheetName val="SCUSA unadjusted 2"/>
      <sheetName val="PAMs 2"/>
      <sheetName val="SSLLC 2"/>
      <sheetName val="SIS 2"/>
      <sheetName val="BSPR 2"/>
      <sheetName val="BSI 2"/>
      <sheetName val="PPNRproj"/>
      <sheetName val="vena.tmp.7EC47338204F4F1F"/>
      <sheetName val="Existing SHUSA 3"/>
      <sheetName val="Hold Co. 3"/>
      <sheetName val="SBNA 3"/>
      <sheetName val="Eliminations - SBNASCUSA 3"/>
      <sheetName val="SCUSA unadjusted 3"/>
      <sheetName val="PAMs 3"/>
      <sheetName val="SSLLC 3"/>
      <sheetName val="SIS 3"/>
      <sheetName val="BSPR 3"/>
      <sheetName val="BSI 3"/>
      <sheetName val="PPNRnii"/>
      <sheetName val="Existing SHUSA 4"/>
      <sheetName val="Hold Co. 4"/>
      <sheetName val="SBNA 4"/>
      <sheetName val="Eliminations - SBNASCUSA 4"/>
      <sheetName val="SCUSA unadjusted 4"/>
      <sheetName val="PAMs 4"/>
      <sheetName val="SSLLC 4"/>
      <sheetName val="SIS 4"/>
      <sheetName val="BSPR 4"/>
      <sheetName val="BSI 4"/>
      <sheetName val="PPNRmetrics"/>
      <sheetName val="Existing SHUSA 5"/>
      <sheetName val="Hold Co. 5"/>
      <sheetName val="SBNA 5"/>
      <sheetName val="Eliminations - SBNASCUSA 5"/>
      <sheetName val="SCUSA unadjusted 5"/>
      <sheetName val="PAMs 5"/>
      <sheetName val="SSLLC 5"/>
      <sheetName val="SIS 5"/>
      <sheetName val="BSPR 5"/>
      <sheetName val="BSI 5"/>
      <sheetName val="StandardizedRWA"/>
      <sheetName val="Existing SHUSA 6"/>
      <sheetName val="Hold Co. 6"/>
      <sheetName val="SBNA 6"/>
      <sheetName val="SCUSA unadjusted 6"/>
      <sheetName val="SSLLC 6"/>
      <sheetName val="SIS 6"/>
      <sheetName val="BSPR 6"/>
      <sheetName val="BSI 6"/>
      <sheetName val="Capital"/>
      <sheetName val="Existing SHUSA 7"/>
      <sheetName val="Hold Co. 7"/>
      <sheetName val="SBNA 7"/>
      <sheetName val="SCUSA unadjusted 7"/>
      <sheetName val="SSLLC 7"/>
      <sheetName val="SIS 7"/>
      <sheetName val="BSPR 7"/>
      <sheetName val="BSI 7"/>
      <sheetName val="Sheet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row r="1">
          <cell r="B1" t="str">
            <v>SHUSA Consolidated</v>
          </cell>
          <cell r="C1" t="str">
            <v>SHUSA with IHC Stand-Alone</v>
          </cell>
        </row>
        <row r="2">
          <cell r="B2" t="str">
            <v>Existing SHUSA</v>
          </cell>
          <cell r="C2" t="str">
            <v>SHUSA Stand-Alone</v>
          </cell>
        </row>
        <row r="3">
          <cell r="B3" t="str">
            <v>Hold Co.</v>
          </cell>
          <cell r="C3" t="str">
            <v>Hold Co.</v>
          </cell>
        </row>
        <row r="4">
          <cell r="B4" t="str">
            <v>SBNA</v>
          </cell>
          <cell r="C4" t="str">
            <v>SBNA</v>
          </cell>
        </row>
        <row r="5">
          <cell r="B5" t="str">
            <v>SCUSA unadjusted</v>
          </cell>
          <cell r="C5" t="str">
            <v>SCUSA unadjusted</v>
          </cell>
        </row>
        <row r="6">
          <cell r="B6" t="str">
            <v>BSI</v>
          </cell>
          <cell r="C6" t="str">
            <v>BSI</v>
          </cell>
        </row>
        <row r="7">
          <cell r="B7" t="str">
            <v>BSPR</v>
          </cell>
          <cell r="C7" t="str">
            <v>BSPR</v>
          </cell>
        </row>
        <row r="8">
          <cell r="B8" t="str">
            <v>SIS</v>
          </cell>
          <cell r="C8" t="str">
            <v>SIS</v>
          </cell>
        </row>
        <row r="9">
          <cell r="B9" t="str">
            <v>SSLLC</v>
          </cell>
          <cell r="C9" t="str">
            <v>SSLLC</v>
          </cell>
        </row>
        <row r="10">
          <cell r="B10" t="str">
            <v>PAMs</v>
          </cell>
          <cell r="C10" t="str">
            <v>PAMs</v>
          </cell>
        </row>
        <row r="11">
          <cell r="B11" t="str">
            <v>Eliminations - SBNA/SCUSA</v>
          </cell>
          <cell r="C11" t="str">
            <v>Eliminations - SBNA/SCUSA</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ubmission Cover Sheet"/>
      <sheetName val="Income Statement Worksheet"/>
      <sheetName val="Balance Sheet Worksheet"/>
      <sheetName val="Standardized RWA"/>
      <sheetName val="Capital - DFAST"/>
      <sheetName val="Retail Bal. &amp; Loss Projections"/>
      <sheetName val="Retail Repurchase Worksheet"/>
      <sheetName val="Securities OTTI by Security"/>
      <sheetName val="Securities OTTI Methodology"/>
      <sheetName val="Securities OTTI by Portfolio"/>
      <sheetName val="Securities AFS OCI by Portfolio"/>
      <sheetName val="Securities Market Value Sources"/>
      <sheetName val="Trading Worksheet"/>
      <sheetName val="Counterparty Risk Worksheet"/>
      <sheetName val="OpRisk Scenario &amp; Projections"/>
      <sheetName val="PPNR Projections Worksheet"/>
      <sheetName val="PPNR NII Worksheet"/>
      <sheetName val="PPNR Metrics Worksheet"/>
      <sheetName val="General RWA"/>
      <sheetName val="Advanced RWA"/>
      <sheetName val="Retail ASC 310-30 Worksheet"/>
      <sheetName val="vena.tmp.7EC47338204F4F1F"/>
    </sheetNames>
    <sheetDataSet>
      <sheetData sheetId="0">
        <row r="12">
          <cell r="D12" t="str">
            <v>XYZ</v>
          </cell>
        </row>
        <row r="20">
          <cell r="B20" t="str">
            <v>When Received:</v>
          </cell>
        </row>
        <row r="29">
          <cell r="A29" t="str">
            <v>Baseline</v>
          </cell>
        </row>
        <row r="30">
          <cell r="A30" t="str">
            <v>Adverse</v>
          </cell>
        </row>
        <row r="31">
          <cell r="A31" t="str">
            <v>Severely Adverse</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Set>
  </externalBook>
</externalLink>
</file>

<file path=xl/tables/table1.xml><?xml version="1.0" encoding="utf-8"?>
<table xmlns="http://schemas.openxmlformats.org/spreadsheetml/2006/main" id="1" name="Table215" displayName="Table215" ref="A1:E13" totalsRowShown="0" headerRowDxfId="204" dataDxfId="202" headerRowBorderDxfId="203" tableBorderDxfId="201" totalsRowBorderDxfId="200">
  <tableColumns count="5">
    <tableColumn id="1" name="Column1" dataDxfId="199"/>
    <tableColumn id="2" name="Column2" dataDxfId="198"/>
    <tableColumn id="3" name="Column3" dataDxfId="197"/>
    <tableColumn id="4" name="Column4" dataDxfId="196"/>
    <tableColumn id="5" name="Column5" dataDxfId="195"/>
  </tableColumns>
  <tableStyleInfo name="TableStyleMedium2" showFirstColumn="0" showLastColumn="0" showRowStripes="1" showColumnStripes="0"/>
</table>
</file>

<file path=xl/tables/table10.xml><?xml version="1.0" encoding="utf-8"?>
<table xmlns="http://schemas.openxmlformats.org/spreadsheetml/2006/main" id="24" name="Table9131125" displayName="Table9131125" ref="B211:F223" totalsRowShown="0" headerRowDxfId="114" dataDxfId="112" headerRowBorderDxfId="113" tableBorderDxfId="111" totalsRowBorderDxfId="110">
  <tableColumns count="5">
    <tableColumn id="1" name="October 2015" dataDxfId="109"/>
    <tableColumn id="2" name="FICO300-629" dataDxfId="108"/>
    <tableColumn id="3" name="FICO630-850" dataDxfId="107"/>
    <tableColumn id="4" name="Not_Available" dataDxfId="106"/>
    <tableColumn id="5" name="Total" dataDxfId="105">
      <calculatedColumnFormula>SUM(Table9131125[[#This Row],[FICO300-629]:[Not_Available]])</calculatedColumnFormula>
    </tableColumn>
  </tableColumns>
  <tableStyleInfo name="TableStyleMedium2" showFirstColumn="0" showLastColumn="0" showRowStripes="1" showColumnStripes="0"/>
</table>
</file>

<file path=xl/tables/table11.xml><?xml version="1.0" encoding="utf-8"?>
<table xmlns="http://schemas.openxmlformats.org/spreadsheetml/2006/main" id="25" name="Table913111726" displayName="Table913111726" ref="B233:F245" totalsRowShown="0" headerRowDxfId="104" dataDxfId="102" headerRowBorderDxfId="103" tableBorderDxfId="101" totalsRowBorderDxfId="100">
  <tableColumns count="5">
    <tableColumn id="1" name="November 2015" dataDxfId="99"/>
    <tableColumn id="2" name="FICO300-629" dataDxfId="98"/>
    <tableColumn id="3" name="FICO630-850" dataDxfId="97"/>
    <tableColumn id="4" name="Not_Available" dataDxfId="96"/>
    <tableColumn id="5" name="Total" dataDxfId="95"/>
  </tableColumns>
  <tableStyleInfo name="TableStyleMedium2" showFirstColumn="0" showLastColumn="0" showRowStripes="1" showColumnStripes="0"/>
</table>
</file>

<file path=xl/tables/table12.xml><?xml version="1.0" encoding="utf-8"?>
<table xmlns="http://schemas.openxmlformats.org/spreadsheetml/2006/main" id="26" name="Table1327" displayName="Table1327" ref="B255:F267" totalsRowShown="0" headerRowDxfId="94" dataDxfId="92" headerRowBorderDxfId="93" tableBorderDxfId="91" totalsRowBorderDxfId="90">
  <autoFilter ref="B255:F267"/>
  <tableColumns count="5">
    <tableColumn id="1" name="December 2015" dataDxfId="89"/>
    <tableColumn id="2" name="FICO300-629" dataDxfId="88" dataCellStyle="Currency"/>
    <tableColumn id="3" name="FICO630-850" dataDxfId="87" dataCellStyle="Currency"/>
    <tableColumn id="4" name="Not_Available" dataDxfId="86" dataCellStyle="Currency"/>
    <tableColumn id="5" name="Total" dataDxfId="85" dataCellStyle="Currency"/>
  </tableColumns>
  <tableStyleInfo name="TableStyleMedium2" showFirstColumn="0" showLastColumn="0" showRowStripes="1" showColumnStripes="0"/>
</table>
</file>

<file path=xl/tables/table13.xml><?xml version="1.0" encoding="utf-8"?>
<table xmlns="http://schemas.openxmlformats.org/spreadsheetml/2006/main" id="27" name="Table2152" displayName="Table2152" ref="B299:F311" totalsRowShown="0" headerRowDxfId="84" dataDxfId="82" headerRowBorderDxfId="83" tableBorderDxfId="81" totalsRowBorderDxfId="80">
  <tableColumns count="5">
    <tableColumn id="1" name="Feb 2016" dataDxfId="79"/>
    <tableColumn id="2" name="FICO300-629" dataDxfId="78"/>
    <tableColumn id="3" name="FICO630-850" dataDxfId="77"/>
    <tableColumn id="4" name="Not_Available" dataDxfId="76"/>
    <tableColumn id="5" name="Total" dataDxfId="75"/>
  </tableColumns>
  <tableStyleInfo name="TableStyleMedium2" showFirstColumn="0" showLastColumn="0" showRowStripes="1" showColumnStripes="0"/>
</table>
</file>

<file path=xl/tables/table14.xml><?xml version="1.0" encoding="utf-8"?>
<table xmlns="http://schemas.openxmlformats.org/spreadsheetml/2006/main" id="28" name="Table215216" displayName="Table215216" ref="B333:F345" totalsRowShown="0" headerRowDxfId="74" dataDxfId="72" headerRowBorderDxfId="73" tableBorderDxfId="71" totalsRowBorderDxfId="70">
  <tableColumns count="5">
    <tableColumn id="1" name="March 2016" dataDxfId="69"/>
    <tableColumn id="2" name="FICO300-629" dataDxfId="68"/>
    <tableColumn id="3" name="FICO630-850" dataDxfId="67"/>
    <tableColumn id="4" name="Not_Available" dataDxfId="66"/>
    <tableColumn id="5" name="Total" dataDxfId="65"/>
  </tableColumns>
  <tableStyleInfo name="TableStyleMedium2" showFirstColumn="0" showLastColumn="0" showRowStripes="1" showColumnStripes="0"/>
</table>
</file>

<file path=xl/tables/table2.xml><?xml version="1.0" encoding="utf-8"?>
<table xmlns="http://schemas.openxmlformats.org/spreadsheetml/2006/main" id="16" name="Table317" displayName="Table317" ref="B35:F47" totalsRowShown="0" headerRowDxfId="194" dataDxfId="192" headerRowBorderDxfId="193" tableBorderDxfId="191" totalsRowBorderDxfId="190">
  <autoFilter ref="B35:F47"/>
  <tableColumns count="5">
    <tableColumn id="1" name="Feb2015" dataDxfId="189"/>
    <tableColumn id="2" name="FICO300-629" dataDxfId="188"/>
    <tableColumn id="3" name="FICO630-850" dataDxfId="187"/>
    <tableColumn id="4" name="Not_Available" dataDxfId="186"/>
    <tableColumn id="5" name="Total" dataDxfId="185"/>
  </tableColumns>
  <tableStyleInfo name="TableStyleMedium2" showFirstColumn="0" showLastColumn="0" showRowStripes="1" showColumnStripes="0"/>
</table>
</file>

<file path=xl/tables/table3.xml><?xml version="1.0" encoding="utf-8"?>
<table xmlns="http://schemas.openxmlformats.org/spreadsheetml/2006/main" id="17" name="Table418" displayName="Table418" ref="B57:F69" totalsRowShown="0" headerRowDxfId="184" dataDxfId="182" headerRowBorderDxfId="183" tableBorderDxfId="181" totalsRowBorderDxfId="180">
  <autoFilter ref="B57:F69"/>
  <tableColumns count="5">
    <tableColumn id="1" name="March2015" dataDxfId="179"/>
    <tableColumn id="2" name="FICO300-629" dataDxfId="178"/>
    <tableColumn id="3" name="FICO630-850" dataDxfId="177"/>
    <tableColumn id="4" name="Not_Available" dataDxfId="176"/>
    <tableColumn id="5" name="Total" dataDxfId="175"/>
  </tableColumns>
  <tableStyleInfo name="TableStyleMedium2" showFirstColumn="0" showLastColumn="0" showRowStripes="1" showColumnStripes="0"/>
</table>
</file>

<file path=xl/tables/table4.xml><?xml version="1.0" encoding="utf-8"?>
<table xmlns="http://schemas.openxmlformats.org/spreadsheetml/2006/main" id="18" name="Table519" displayName="Table519" ref="B79:F91" totalsRowShown="0" headerRowDxfId="174" dataDxfId="172" headerRowBorderDxfId="173" tableBorderDxfId="171" totalsRowBorderDxfId="170">
  <autoFilter ref="B79:F91"/>
  <tableColumns count="5">
    <tableColumn id="1" name="April2015" dataDxfId="169"/>
    <tableColumn id="2" name="FICO300-629" dataDxfId="168"/>
    <tableColumn id="3" name="FICO630-850" dataDxfId="167"/>
    <tableColumn id="4" name="Not_Available" dataDxfId="166"/>
    <tableColumn id="5" name="Total" dataDxfId="165"/>
  </tableColumns>
  <tableStyleInfo name="TableStyleMedium2" showFirstColumn="0" showLastColumn="0" showRowStripes="1" showColumnStripes="0"/>
</table>
</file>

<file path=xl/tables/table5.xml><?xml version="1.0" encoding="utf-8"?>
<table xmlns="http://schemas.openxmlformats.org/spreadsheetml/2006/main" id="19" name="Table620" displayName="Table620" ref="B101:F113" totalsRowShown="0" headerRowDxfId="164" dataDxfId="162" headerRowBorderDxfId="163" tableBorderDxfId="161" totalsRowBorderDxfId="160">
  <autoFilter ref="B101:F113"/>
  <tableColumns count="5">
    <tableColumn id="1" name="May2015" dataDxfId="159"/>
    <tableColumn id="2" name="FICO300-629" dataDxfId="158"/>
    <tableColumn id="3" name="FICO630-850" dataDxfId="157"/>
    <tableColumn id="4" name="Not_Available" dataDxfId="156"/>
    <tableColumn id="5" name="Total" dataDxfId="155"/>
  </tableColumns>
  <tableStyleInfo name="TableStyleMedium2" showFirstColumn="0" showLastColumn="0" showRowStripes="1" showColumnStripes="0"/>
</table>
</file>

<file path=xl/tables/table6.xml><?xml version="1.0" encoding="utf-8"?>
<table xmlns="http://schemas.openxmlformats.org/spreadsheetml/2006/main" id="20" name="Table721" displayName="Table721" ref="B123:F135" totalsRowShown="0" headerRowDxfId="154" dataDxfId="152" headerRowBorderDxfId="153" tableBorderDxfId="151" totalsRowBorderDxfId="150">
  <autoFilter ref="B123:F135"/>
  <tableColumns count="5">
    <tableColumn id="1" name="June2015" dataDxfId="149"/>
    <tableColumn id="2" name="FICO300-629" dataDxfId="148"/>
    <tableColumn id="3" name="FICO630-850" dataDxfId="147"/>
    <tableColumn id="4" name="Not_Available" dataDxfId="146"/>
    <tableColumn id="5" name="Total" dataDxfId="145"/>
  </tableColumns>
  <tableStyleInfo name="TableStyleMedium2" showFirstColumn="0" showLastColumn="0" showRowStripes="1" showColumnStripes="0"/>
</table>
</file>

<file path=xl/tables/table7.xml><?xml version="1.0" encoding="utf-8"?>
<table xmlns="http://schemas.openxmlformats.org/spreadsheetml/2006/main" id="21" name="Table822" displayName="Table822" ref="B145:F157" totalsRowShown="0" headerRowDxfId="144" dataDxfId="142" headerRowBorderDxfId="143" tableBorderDxfId="141" totalsRowBorderDxfId="140">
  <autoFilter ref="B145:F157"/>
  <tableColumns count="5">
    <tableColumn id="1" name="July2015" dataDxfId="139"/>
    <tableColumn id="2" name="FICO300-629" dataDxfId="138"/>
    <tableColumn id="3" name="FICO630-850" dataDxfId="137"/>
    <tableColumn id="4" name="Not_Available" dataDxfId="136"/>
    <tableColumn id="5" name="Total" dataDxfId="135"/>
  </tableColumns>
  <tableStyleInfo name="TableStyleMedium2" showFirstColumn="0" showLastColumn="0" showRowStripes="1" showColumnStripes="0"/>
</table>
</file>

<file path=xl/tables/table8.xml><?xml version="1.0" encoding="utf-8"?>
<table xmlns="http://schemas.openxmlformats.org/spreadsheetml/2006/main" id="22" name="Table923" displayName="Table923" ref="B167:F179" totalsRowShown="0" headerRowDxfId="134" dataDxfId="132" headerRowBorderDxfId="133" tableBorderDxfId="131" totalsRowBorderDxfId="130">
  <autoFilter ref="B167:F179"/>
  <tableColumns count="5">
    <tableColumn id="1" name="August2015" dataDxfId="129"/>
    <tableColumn id="2" name="FICO300-629" dataDxfId="128"/>
    <tableColumn id="3" name="FICO630-850" dataDxfId="127"/>
    <tableColumn id="4" name="Not_Available" dataDxfId="126"/>
    <tableColumn id="5" name="Total" dataDxfId="125"/>
  </tableColumns>
  <tableStyleInfo name="TableStyleMedium2" showFirstColumn="0" showLastColumn="0" showRowStripes="1" showColumnStripes="0"/>
</table>
</file>

<file path=xl/tables/table9.xml><?xml version="1.0" encoding="utf-8"?>
<table xmlns="http://schemas.openxmlformats.org/spreadsheetml/2006/main" id="23" name="Table91324" displayName="Table91324" ref="B189:F201" totalsRowShown="0" headerRowDxfId="124" dataDxfId="122" headerRowBorderDxfId="123" tableBorderDxfId="121" totalsRowBorderDxfId="120">
  <tableColumns count="5">
    <tableColumn id="1" name="September2015" dataDxfId="119"/>
    <tableColumn id="2" name="FICO300-629" dataDxfId="118"/>
    <tableColumn id="3" name="FICO630-850" dataDxfId="117"/>
    <tableColumn id="4" name="Not_Available" dataDxfId="116"/>
    <tableColumn id="5" name="Total" dataDxfId="115"/>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8" Type="http://schemas.openxmlformats.org/officeDocument/2006/relationships/table" Target="../tables/table6.xml"/><Relationship Id="rId13" Type="http://schemas.openxmlformats.org/officeDocument/2006/relationships/table" Target="../tables/table11.xml"/><Relationship Id="rId3" Type="http://schemas.openxmlformats.org/officeDocument/2006/relationships/table" Target="../tables/table1.xml"/><Relationship Id="rId7" Type="http://schemas.openxmlformats.org/officeDocument/2006/relationships/table" Target="../tables/table5.xml"/><Relationship Id="rId12" Type="http://schemas.openxmlformats.org/officeDocument/2006/relationships/table" Target="../tables/table10.xml"/><Relationship Id="rId2" Type="http://schemas.openxmlformats.org/officeDocument/2006/relationships/drawing" Target="../drawings/drawing11.xml"/><Relationship Id="rId16" Type="http://schemas.openxmlformats.org/officeDocument/2006/relationships/table" Target="../tables/table14.xml"/><Relationship Id="rId1" Type="http://schemas.openxmlformats.org/officeDocument/2006/relationships/printerSettings" Target="../printerSettings/printerSettings15.bin"/><Relationship Id="rId6" Type="http://schemas.openxmlformats.org/officeDocument/2006/relationships/table" Target="../tables/table4.xml"/><Relationship Id="rId11" Type="http://schemas.openxmlformats.org/officeDocument/2006/relationships/table" Target="../tables/table9.xml"/><Relationship Id="rId5" Type="http://schemas.openxmlformats.org/officeDocument/2006/relationships/table" Target="../tables/table3.xml"/><Relationship Id="rId15" Type="http://schemas.openxmlformats.org/officeDocument/2006/relationships/table" Target="../tables/table13.xml"/><Relationship Id="rId10" Type="http://schemas.openxmlformats.org/officeDocument/2006/relationships/table" Target="../tables/table8.xml"/><Relationship Id="rId4" Type="http://schemas.openxmlformats.org/officeDocument/2006/relationships/table" Target="../tables/table2.xml"/><Relationship Id="rId9" Type="http://schemas.openxmlformats.org/officeDocument/2006/relationships/table" Target="../tables/table7.xml"/><Relationship Id="rId14" Type="http://schemas.openxmlformats.org/officeDocument/2006/relationships/table" Target="../tables/table12.xml"/></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2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18"/>
  <sheetViews>
    <sheetView tabSelected="1" zoomScale="85" zoomScaleNormal="85" workbookViewId="0">
      <pane xSplit="1" ySplit="1" topLeftCell="B2" activePane="bottomRight" state="frozen"/>
      <selection pane="topRight" activeCell="B1" sqref="B1"/>
      <selection pane="bottomLeft" activeCell="A2" sqref="A2"/>
      <selection pane="bottomRight" activeCell="B2" sqref="B2"/>
    </sheetView>
  </sheetViews>
  <sheetFormatPr defaultColWidth="8.85546875" defaultRowHeight="12" x14ac:dyDescent="0.2"/>
  <cols>
    <col min="1" max="1" width="13.7109375" style="8" bestFit="1" customWidth="1"/>
    <col min="2" max="2" width="29.7109375" style="8" customWidth="1"/>
    <col min="3" max="3" width="18" style="8" customWidth="1"/>
    <col min="4" max="4" width="29.42578125" style="8" customWidth="1"/>
    <col min="5" max="5" width="15.140625" style="8" customWidth="1"/>
    <col min="6" max="6" width="32.5703125" style="8" customWidth="1"/>
    <col min="7" max="7" width="36.28515625" style="8" customWidth="1"/>
    <col min="8" max="8" width="15.85546875" style="8" customWidth="1"/>
    <col min="9" max="9" width="12.85546875" style="8" customWidth="1"/>
    <col min="10" max="10" width="13.42578125" style="8" customWidth="1"/>
    <col min="11" max="11" width="31.42578125" style="8" customWidth="1"/>
    <col min="12" max="12" width="12.140625" style="8" hidden="1" customWidth="1"/>
    <col min="13" max="13" width="15.7109375" style="8" hidden="1" customWidth="1"/>
    <col min="14" max="14" width="1.42578125" style="8" hidden="1" customWidth="1"/>
    <col min="15" max="15" width="9.5703125" style="8" hidden="1" customWidth="1"/>
    <col min="16" max="16" width="20.140625" style="8" bestFit="1" customWidth="1"/>
    <col min="17" max="16384" width="8.85546875" style="8"/>
  </cols>
  <sheetData>
    <row r="1" spans="1:16" ht="61.15" customHeight="1" thickBot="1" x14ac:dyDescent="0.25">
      <c r="A1" s="20" t="s">
        <v>0</v>
      </c>
      <c r="B1" s="21" t="s">
        <v>1</v>
      </c>
      <c r="C1" s="21" t="s">
        <v>92</v>
      </c>
      <c r="D1" s="21" t="s">
        <v>93</v>
      </c>
      <c r="E1" s="6" t="s">
        <v>53</v>
      </c>
      <c r="F1" s="6" t="s">
        <v>50</v>
      </c>
      <c r="G1" s="6" t="s">
        <v>51</v>
      </c>
      <c r="H1" s="6" t="s">
        <v>52</v>
      </c>
      <c r="I1" s="6" t="s">
        <v>54</v>
      </c>
      <c r="J1" s="6" t="s">
        <v>55</v>
      </c>
      <c r="K1" s="6" t="s">
        <v>56</v>
      </c>
      <c r="L1" s="7" t="s">
        <v>68</v>
      </c>
      <c r="M1" s="7" t="s">
        <v>69</v>
      </c>
      <c r="N1" s="7" t="s">
        <v>79</v>
      </c>
      <c r="O1" s="7" t="s">
        <v>70</v>
      </c>
      <c r="P1" s="266" t="s">
        <v>172</v>
      </c>
    </row>
    <row r="2" spans="1:16" ht="36" x14ac:dyDescent="0.2">
      <c r="A2" s="421" t="s">
        <v>2</v>
      </c>
      <c r="B2" s="22" t="s">
        <v>61</v>
      </c>
      <c r="C2" s="9" t="s">
        <v>64</v>
      </c>
      <c r="D2" s="9" t="s">
        <v>59</v>
      </c>
      <c r="E2" s="9" t="s">
        <v>66</v>
      </c>
      <c r="F2" s="9" t="s">
        <v>59</v>
      </c>
      <c r="G2" s="9" t="s">
        <v>59</v>
      </c>
      <c r="H2" s="9" t="s">
        <v>65</v>
      </c>
      <c r="I2" s="288">
        <v>0.11</v>
      </c>
      <c r="J2" s="288">
        <v>9.4500000000000001E-2</v>
      </c>
      <c r="K2" s="10" t="s">
        <v>96</v>
      </c>
      <c r="L2" s="11" t="s">
        <v>60</v>
      </c>
      <c r="M2" s="12" t="s">
        <v>60</v>
      </c>
      <c r="N2" s="12" t="s">
        <v>60</v>
      </c>
      <c r="O2" s="12" t="s">
        <v>59</v>
      </c>
      <c r="P2" s="267" t="s">
        <v>66</v>
      </c>
    </row>
    <row r="3" spans="1:16" ht="48" x14ac:dyDescent="0.2">
      <c r="A3" s="423"/>
      <c r="B3" s="23" t="s">
        <v>62</v>
      </c>
      <c r="C3" s="12" t="s">
        <v>107</v>
      </c>
      <c r="D3" s="14" t="s">
        <v>108</v>
      </c>
      <c r="E3" s="12" t="s">
        <v>66</v>
      </c>
      <c r="F3" s="12" t="s">
        <v>59</v>
      </c>
      <c r="G3" s="12" t="s">
        <v>59</v>
      </c>
      <c r="H3" s="12" t="s">
        <v>65</v>
      </c>
      <c r="I3" s="289" t="s">
        <v>59</v>
      </c>
      <c r="J3" s="289" t="s">
        <v>59</v>
      </c>
      <c r="K3" s="15" t="s">
        <v>59</v>
      </c>
      <c r="L3" s="11" t="s">
        <v>60</v>
      </c>
      <c r="M3" s="12" t="s">
        <v>60</v>
      </c>
      <c r="N3" s="12" t="s">
        <v>60</v>
      </c>
      <c r="O3" s="12" t="s">
        <v>59</v>
      </c>
      <c r="P3" s="268" t="s">
        <v>66</v>
      </c>
    </row>
    <row r="4" spans="1:16" ht="36.75" thickBot="1" x14ac:dyDescent="0.25">
      <c r="A4" s="422"/>
      <c r="B4" s="24" t="s">
        <v>63</v>
      </c>
      <c r="C4" s="1" t="s">
        <v>64</v>
      </c>
      <c r="D4" s="1" t="s">
        <v>59</v>
      </c>
      <c r="E4" s="1" t="s">
        <v>66</v>
      </c>
      <c r="F4" s="1" t="s">
        <v>59</v>
      </c>
      <c r="G4" s="1" t="s">
        <v>59</v>
      </c>
      <c r="H4" s="1" t="s">
        <v>65</v>
      </c>
      <c r="I4" s="281">
        <v>0.115</v>
      </c>
      <c r="J4" s="281">
        <v>0.10249999999999999</v>
      </c>
      <c r="K4" s="13" t="s">
        <v>96</v>
      </c>
      <c r="L4" s="11" t="s">
        <v>60</v>
      </c>
      <c r="M4" s="12" t="s">
        <v>60</v>
      </c>
      <c r="N4" s="12" t="s">
        <v>60</v>
      </c>
      <c r="O4" s="12" t="s">
        <v>59</v>
      </c>
      <c r="P4" s="269" t="s">
        <v>65</v>
      </c>
    </row>
    <row r="5" spans="1:16" ht="36" x14ac:dyDescent="0.2">
      <c r="A5" s="421" t="s">
        <v>3</v>
      </c>
      <c r="B5" s="22" t="s">
        <v>4</v>
      </c>
      <c r="C5" s="9" t="s">
        <v>64</v>
      </c>
      <c r="D5" s="9" t="s">
        <v>59</v>
      </c>
      <c r="E5" s="9" t="s">
        <v>66</v>
      </c>
      <c r="F5" s="9" t="s">
        <v>59</v>
      </c>
      <c r="G5" s="9" t="s">
        <v>59</v>
      </c>
      <c r="H5" s="9" t="s">
        <v>65</v>
      </c>
      <c r="I5" s="28" t="s">
        <v>95</v>
      </c>
      <c r="J5" s="28" t="s">
        <v>95</v>
      </c>
      <c r="K5" s="29" t="s">
        <v>60</v>
      </c>
      <c r="L5" s="11" t="s">
        <v>60</v>
      </c>
      <c r="M5" s="12" t="s">
        <v>60</v>
      </c>
      <c r="N5" s="12" t="s">
        <v>60</v>
      </c>
      <c r="O5" s="12" t="s">
        <v>59</v>
      </c>
      <c r="P5" s="267" t="s">
        <v>66</v>
      </c>
    </row>
    <row r="6" spans="1:16" ht="36" x14ac:dyDescent="0.2">
      <c r="A6" s="423"/>
      <c r="B6" s="23" t="s">
        <v>5</v>
      </c>
      <c r="C6" s="12" t="s">
        <v>80</v>
      </c>
      <c r="D6" s="14" t="s">
        <v>109</v>
      </c>
      <c r="E6" s="12" t="s">
        <v>66</v>
      </c>
      <c r="F6" s="12" t="s">
        <v>59</v>
      </c>
      <c r="G6" s="12" t="s">
        <v>59</v>
      </c>
      <c r="H6" s="12" t="s">
        <v>65</v>
      </c>
      <c r="I6" s="35" t="s">
        <v>95</v>
      </c>
      <c r="J6" s="35" t="s">
        <v>95</v>
      </c>
      <c r="K6" s="36" t="s">
        <v>60</v>
      </c>
      <c r="L6" s="11" t="s">
        <v>60</v>
      </c>
      <c r="M6" s="12" t="s">
        <v>60</v>
      </c>
      <c r="N6" s="12" t="s">
        <v>60</v>
      </c>
      <c r="O6" s="12" t="s">
        <v>59</v>
      </c>
      <c r="P6" s="268" t="s">
        <v>66</v>
      </c>
    </row>
    <row r="7" spans="1:16" ht="36" x14ac:dyDescent="0.2">
      <c r="A7" s="423"/>
      <c r="B7" s="23" t="s">
        <v>6</v>
      </c>
      <c r="C7" s="12" t="s">
        <v>64</v>
      </c>
      <c r="D7" s="12" t="s">
        <v>59</v>
      </c>
      <c r="E7" s="12" t="s">
        <v>66</v>
      </c>
      <c r="F7" s="12" t="s">
        <v>59</v>
      </c>
      <c r="G7" s="12" t="s">
        <v>59</v>
      </c>
      <c r="H7" s="12" t="s">
        <v>65</v>
      </c>
      <c r="I7" s="35" t="s">
        <v>95</v>
      </c>
      <c r="J7" s="35" t="s">
        <v>95</v>
      </c>
      <c r="K7" s="36" t="s">
        <v>60</v>
      </c>
      <c r="L7" s="11" t="s">
        <v>60</v>
      </c>
      <c r="M7" s="12" t="s">
        <v>60</v>
      </c>
      <c r="N7" s="12" t="s">
        <v>60</v>
      </c>
      <c r="O7" s="12" t="s">
        <v>59</v>
      </c>
      <c r="P7" s="268" t="s">
        <v>66</v>
      </c>
    </row>
    <row r="8" spans="1:16" ht="36.75" thickBot="1" x14ac:dyDescent="0.25">
      <c r="A8" s="423"/>
      <c r="B8" s="23" t="s">
        <v>7</v>
      </c>
      <c r="C8" s="12" t="s">
        <v>80</v>
      </c>
      <c r="D8" s="14" t="s">
        <v>109</v>
      </c>
      <c r="E8" s="12" t="s">
        <v>66</v>
      </c>
      <c r="F8" s="12" t="s">
        <v>59</v>
      </c>
      <c r="G8" s="12" t="s">
        <v>59</v>
      </c>
      <c r="H8" s="12" t="s">
        <v>65</v>
      </c>
      <c r="I8" s="35" t="s">
        <v>95</v>
      </c>
      <c r="J8" s="35" t="s">
        <v>95</v>
      </c>
      <c r="K8" s="36" t="s">
        <v>60</v>
      </c>
      <c r="L8" s="11" t="s">
        <v>60</v>
      </c>
      <c r="M8" s="12" t="s">
        <v>60</v>
      </c>
      <c r="N8" s="12" t="s">
        <v>60</v>
      </c>
      <c r="O8" s="12" t="s">
        <v>59</v>
      </c>
      <c r="P8" s="268" t="s">
        <v>66</v>
      </c>
    </row>
    <row r="9" spans="1:16" ht="36.75" thickBot="1" x14ac:dyDescent="0.25">
      <c r="A9" s="279" t="s">
        <v>8</v>
      </c>
      <c r="B9" s="22" t="s">
        <v>9</v>
      </c>
      <c r="C9" s="9" t="s">
        <v>64</v>
      </c>
      <c r="D9" s="9" t="s">
        <v>59</v>
      </c>
      <c r="E9" s="9" t="s">
        <v>66</v>
      </c>
      <c r="F9" s="9" t="s">
        <v>59</v>
      </c>
      <c r="G9" s="9" t="s">
        <v>59</v>
      </c>
      <c r="H9" s="9" t="s">
        <v>66</v>
      </c>
      <c r="I9" s="9" t="s">
        <v>59</v>
      </c>
      <c r="J9" s="9" t="s">
        <v>59</v>
      </c>
      <c r="K9" s="10" t="s">
        <v>59</v>
      </c>
      <c r="L9" s="11" t="s">
        <v>60</v>
      </c>
      <c r="M9" s="12" t="s">
        <v>60</v>
      </c>
      <c r="N9" s="12" t="s">
        <v>60</v>
      </c>
      <c r="O9" s="12" t="s">
        <v>59</v>
      </c>
      <c r="P9" s="267" t="s">
        <v>65</v>
      </c>
    </row>
    <row r="10" spans="1:16" ht="36" x14ac:dyDescent="0.2">
      <c r="A10" s="421" t="s">
        <v>10</v>
      </c>
      <c r="B10" s="22" t="s">
        <v>11</v>
      </c>
      <c r="C10" s="9" t="s">
        <v>107</v>
      </c>
      <c r="D10" s="9" t="s">
        <v>195</v>
      </c>
      <c r="E10" s="9" t="s">
        <v>66</v>
      </c>
      <c r="F10" s="9" t="s">
        <v>59</v>
      </c>
      <c r="G10" s="9" t="s">
        <v>59</v>
      </c>
      <c r="H10" s="9" t="s">
        <v>66</v>
      </c>
      <c r="I10" s="9" t="s">
        <v>59</v>
      </c>
      <c r="J10" s="9" t="s">
        <v>59</v>
      </c>
      <c r="K10" s="10" t="s">
        <v>59</v>
      </c>
      <c r="L10" s="11" t="s">
        <v>60</v>
      </c>
      <c r="M10" s="12" t="s">
        <v>60</v>
      </c>
      <c r="N10" s="12" t="s">
        <v>60</v>
      </c>
      <c r="O10" s="12" t="s">
        <v>59</v>
      </c>
      <c r="P10" s="10" t="s">
        <v>65</v>
      </c>
    </row>
    <row r="11" spans="1:16" ht="100.15" customHeight="1" thickBot="1" x14ac:dyDescent="0.25">
      <c r="A11" s="422"/>
      <c r="B11" s="24" t="s">
        <v>12</v>
      </c>
      <c r="C11" s="1" t="s">
        <v>64</v>
      </c>
      <c r="D11" s="1" t="s">
        <v>59</v>
      </c>
      <c r="E11" s="1" t="s">
        <v>65</v>
      </c>
      <c r="F11" s="16" t="s">
        <v>177</v>
      </c>
      <c r="G11" s="16" t="s">
        <v>178</v>
      </c>
      <c r="H11" s="1" t="s">
        <v>65</v>
      </c>
      <c r="I11" s="1">
        <v>4</v>
      </c>
      <c r="J11" s="1">
        <v>3</v>
      </c>
      <c r="K11" s="290" t="s">
        <v>179</v>
      </c>
      <c r="L11" s="11" t="s">
        <v>60</v>
      </c>
      <c r="M11" s="12" t="s">
        <v>60</v>
      </c>
      <c r="N11" s="12" t="s">
        <v>60</v>
      </c>
      <c r="O11" s="12" t="s">
        <v>59</v>
      </c>
      <c r="P11" s="13" t="s">
        <v>65</v>
      </c>
    </row>
    <row r="12" spans="1:16" ht="36" x14ac:dyDescent="0.2">
      <c r="A12" s="421" t="s">
        <v>13</v>
      </c>
      <c r="B12" s="304" t="s">
        <v>14</v>
      </c>
      <c r="C12" s="28" t="s">
        <v>64</v>
      </c>
      <c r="D12" s="28" t="s">
        <v>59</v>
      </c>
      <c r="E12" s="28" t="s">
        <v>66</v>
      </c>
      <c r="F12" s="28" t="s">
        <v>59</v>
      </c>
      <c r="G12" s="28" t="s">
        <v>59</v>
      </c>
      <c r="H12" s="28" t="s">
        <v>66</v>
      </c>
      <c r="I12" s="28" t="s">
        <v>59</v>
      </c>
      <c r="J12" s="28" t="s">
        <v>59</v>
      </c>
      <c r="K12" s="29" t="s">
        <v>59</v>
      </c>
      <c r="L12" s="305" t="s">
        <v>60</v>
      </c>
      <c r="M12" s="35" t="s">
        <v>60</v>
      </c>
      <c r="N12" s="35" t="s">
        <v>60</v>
      </c>
      <c r="O12" s="35" t="s">
        <v>59</v>
      </c>
      <c r="P12" s="29" t="s">
        <v>65</v>
      </c>
    </row>
    <row r="13" spans="1:16" ht="84.75" thickBot="1" x14ac:dyDescent="0.25">
      <c r="A13" s="422"/>
      <c r="B13" s="24" t="s">
        <v>15</v>
      </c>
      <c r="C13" s="1" t="s">
        <v>64</v>
      </c>
      <c r="D13" s="1" t="s">
        <v>59</v>
      </c>
      <c r="E13" s="1" t="s">
        <v>66</v>
      </c>
      <c r="F13" s="1" t="s">
        <v>59</v>
      </c>
      <c r="G13" s="1" t="s">
        <v>59</v>
      </c>
      <c r="H13" s="1" t="s">
        <v>65</v>
      </c>
      <c r="I13" s="1">
        <v>-280</v>
      </c>
      <c r="J13" s="1">
        <v>-350</v>
      </c>
      <c r="K13" s="290" t="s">
        <v>176</v>
      </c>
      <c r="L13" s="11" t="s">
        <v>60</v>
      </c>
      <c r="M13" s="12" t="s">
        <v>60</v>
      </c>
      <c r="N13" s="12" t="s">
        <v>60</v>
      </c>
      <c r="O13" s="12" t="s">
        <v>59</v>
      </c>
      <c r="P13" s="269" t="s">
        <v>65</v>
      </c>
    </row>
    <row r="14" spans="1:16" ht="36" x14ac:dyDescent="0.2">
      <c r="A14" s="421" t="s">
        <v>16</v>
      </c>
      <c r="B14" s="22" t="s">
        <v>17</v>
      </c>
      <c r="C14" s="9" t="s">
        <v>64</v>
      </c>
      <c r="D14" s="9" t="s">
        <v>59</v>
      </c>
      <c r="E14" s="9" t="s">
        <v>66</v>
      </c>
      <c r="F14" s="9" t="s">
        <v>59</v>
      </c>
      <c r="G14" s="9" t="s">
        <v>59</v>
      </c>
      <c r="H14" s="9" t="s">
        <v>66</v>
      </c>
      <c r="I14" s="9" t="s">
        <v>59</v>
      </c>
      <c r="J14" s="9" t="s">
        <v>59</v>
      </c>
      <c r="K14" s="10" t="s">
        <v>59</v>
      </c>
      <c r="L14" s="11" t="s">
        <v>60</v>
      </c>
      <c r="M14" s="12" t="s">
        <v>60</v>
      </c>
      <c r="N14" s="12" t="s">
        <v>60</v>
      </c>
      <c r="O14" s="12" t="s">
        <v>59</v>
      </c>
      <c r="P14" s="267" t="s">
        <v>65</v>
      </c>
    </row>
    <row r="15" spans="1:16" ht="36.75" thickBot="1" x14ac:dyDescent="0.25">
      <c r="A15" s="423"/>
      <c r="B15" s="23" t="s">
        <v>18</v>
      </c>
      <c r="C15" s="12" t="s">
        <v>64</v>
      </c>
      <c r="D15" s="12" t="s">
        <v>59</v>
      </c>
      <c r="E15" s="12" t="s">
        <v>66</v>
      </c>
      <c r="F15" s="12" t="s">
        <v>59</v>
      </c>
      <c r="G15" s="12" t="s">
        <v>59</v>
      </c>
      <c r="H15" s="12" t="s">
        <v>66</v>
      </c>
      <c r="I15" s="12" t="s">
        <v>59</v>
      </c>
      <c r="J15" s="12" t="s">
        <v>59</v>
      </c>
      <c r="K15" s="15" t="s">
        <v>59</v>
      </c>
      <c r="L15" s="11" t="s">
        <v>60</v>
      </c>
      <c r="M15" s="12" t="s">
        <v>60</v>
      </c>
      <c r="N15" s="12" t="s">
        <v>60</v>
      </c>
      <c r="O15" s="12" t="s">
        <v>59</v>
      </c>
      <c r="P15" s="268" t="s">
        <v>65</v>
      </c>
    </row>
    <row r="16" spans="1:16" ht="24" x14ac:dyDescent="0.2">
      <c r="A16" s="421" t="s">
        <v>19</v>
      </c>
      <c r="B16" s="22" t="s">
        <v>20</v>
      </c>
      <c r="C16" s="9" t="s">
        <v>64</v>
      </c>
      <c r="D16" s="9" t="s">
        <v>59</v>
      </c>
      <c r="E16" s="9" t="s">
        <v>66</v>
      </c>
      <c r="F16" s="9" t="s">
        <v>59</v>
      </c>
      <c r="G16" s="9" t="s">
        <v>59</v>
      </c>
      <c r="H16" s="9" t="s">
        <v>66</v>
      </c>
      <c r="I16" s="9" t="s">
        <v>59</v>
      </c>
      <c r="J16" s="9" t="s">
        <v>59</v>
      </c>
      <c r="K16" s="10" t="s">
        <v>59</v>
      </c>
      <c r="L16" s="11" t="s">
        <v>49</v>
      </c>
      <c r="M16" s="12" t="s">
        <v>60</v>
      </c>
      <c r="N16" s="12" t="s">
        <v>59</v>
      </c>
      <c r="O16" s="12" t="s">
        <v>59</v>
      </c>
      <c r="P16" s="267" t="s">
        <v>65</v>
      </c>
    </row>
    <row r="17" spans="1:16" ht="144.75" thickBot="1" x14ac:dyDescent="0.25">
      <c r="A17" s="422"/>
      <c r="B17" s="24" t="s">
        <v>21</v>
      </c>
      <c r="C17" s="1" t="s">
        <v>64</v>
      </c>
      <c r="D17" s="1" t="s">
        <v>59</v>
      </c>
      <c r="E17" s="1" t="s">
        <v>65</v>
      </c>
      <c r="F17" s="291" t="s">
        <v>110</v>
      </c>
      <c r="G17" s="16" t="s">
        <v>67</v>
      </c>
      <c r="H17" s="1" t="s">
        <v>65</v>
      </c>
      <c r="I17" s="30" t="s">
        <v>60</v>
      </c>
      <c r="J17" s="30" t="s">
        <v>60</v>
      </c>
      <c r="K17" s="38" t="s">
        <v>91</v>
      </c>
      <c r="L17" s="11" t="s">
        <v>49</v>
      </c>
      <c r="M17" s="12" t="s">
        <v>60</v>
      </c>
      <c r="N17" s="12" t="s">
        <v>59</v>
      </c>
      <c r="O17" s="12" t="s">
        <v>59</v>
      </c>
      <c r="P17" s="269" t="s">
        <v>65</v>
      </c>
    </row>
    <row r="18" spans="1:16" ht="36.75" thickBot="1" x14ac:dyDescent="0.25">
      <c r="A18" s="25" t="s">
        <v>22</v>
      </c>
      <c r="B18" s="26" t="s">
        <v>23</v>
      </c>
      <c r="C18" s="17" t="s">
        <v>64</v>
      </c>
      <c r="D18" s="17" t="s">
        <v>59</v>
      </c>
      <c r="E18" s="17" t="s">
        <v>66</v>
      </c>
      <c r="F18" s="17" t="s">
        <v>59</v>
      </c>
      <c r="G18" s="17" t="s">
        <v>59</v>
      </c>
      <c r="H18" s="17" t="s">
        <v>66</v>
      </c>
      <c r="I18" s="17" t="s">
        <v>59</v>
      </c>
      <c r="J18" s="17" t="s">
        <v>59</v>
      </c>
      <c r="K18" s="18" t="s">
        <v>59</v>
      </c>
      <c r="L18" s="11" t="s">
        <v>60</v>
      </c>
      <c r="M18" s="12" t="s">
        <v>60</v>
      </c>
      <c r="N18" s="12" t="s">
        <v>60</v>
      </c>
      <c r="O18" s="12" t="s">
        <v>59</v>
      </c>
      <c r="P18" s="270" t="s">
        <v>65</v>
      </c>
    </row>
  </sheetData>
  <autoFilter ref="A1:P18"/>
  <mergeCells count="6">
    <mergeCell ref="A16:A17"/>
    <mergeCell ref="A2:A4"/>
    <mergeCell ref="A5:A8"/>
    <mergeCell ref="A10:A11"/>
    <mergeCell ref="A12:A13"/>
    <mergeCell ref="A14:A15"/>
  </mergeCells>
  <pageMargins left="0.25" right="0.25" top="0.75" bottom="0.75" header="0.3" footer="0.3"/>
  <pageSetup scale="58" fitToHeight="0"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U34"/>
  <sheetViews>
    <sheetView zoomScale="85" zoomScaleNormal="85" workbookViewId="0">
      <selection activeCell="C6" sqref="C6"/>
    </sheetView>
  </sheetViews>
  <sheetFormatPr defaultColWidth="9.140625" defaultRowHeight="15" x14ac:dyDescent="0.25"/>
  <cols>
    <col min="1" max="1" width="3.7109375" style="56" customWidth="1"/>
    <col min="2" max="2" width="42" style="56" customWidth="1"/>
    <col min="3" max="3" width="24.28515625" style="56" customWidth="1"/>
    <col min="4" max="6" width="15.7109375" style="56" customWidth="1"/>
    <col min="7" max="21" width="21.140625" style="56" customWidth="1"/>
    <col min="22" max="16384" width="9.140625" style="56"/>
  </cols>
  <sheetData>
    <row r="1" spans="1:21" ht="15.75" thickBot="1" x14ac:dyDescent="0.3"/>
    <row r="2" spans="1:21" ht="15.75" thickBot="1" x14ac:dyDescent="0.3">
      <c r="B2" s="443" t="s">
        <v>121</v>
      </c>
      <c r="C2" s="444"/>
      <c r="D2" s="42" t="s">
        <v>118</v>
      </c>
      <c r="E2" s="43" t="s">
        <v>119</v>
      </c>
      <c r="F2" s="44" t="s">
        <v>120</v>
      </c>
      <c r="G2" s="40">
        <v>42005</v>
      </c>
      <c r="H2" s="39">
        <v>42036</v>
      </c>
      <c r="I2" s="39">
        <v>42064</v>
      </c>
      <c r="J2" s="39">
        <v>42095</v>
      </c>
      <c r="K2" s="39">
        <v>42125</v>
      </c>
      <c r="L2" s="39">
        <v>42156</v>
      </c>
      <c r="M2" s="39">
        <v>42186</v>
      </c>
      <c r="N2" s="39">
        <v>42217</v>
      </c>
      <c r="O2" s="39">
        <v>42248</v>
      </c>
      <c r="P2" s="41">
        <v>42278</v>
      </c>
      <c r="Q2" s="83">
        <v>42309</v>
      </c>
      <c r="R2" s="84">
        <v>42339</v>
      </c>
      <c r="S2" s="84">
        <v>42370</v>
      </c>
      <c r="T2" s="84">
        <v>42401</v>
      </c>
      <c r="U2" s="84">
        <v>42430</v>
      </c>
    </row>
    <row r="3" spans="1:21" ht="28.5" hidden="1" customHeight="1" x14ac:dyDescent="0.25">
      <c r="A3" s="85"/>
      <c r="B3" s="80" t="s">
        <v>128</v>
      </c>
      <c r="C3" s="73" t="s">
        <v>114</v>
      </c>
      <c r="D3" s="439">
        <v>4</v>
      </c>
      <c r="E3" s="439">
        <v>3</v>
      </c>
      <c r="F3" s="442" t="s">
        <v>117</v>
      </c>
      <c r="G3" s="86"/>
      <c r="H3" s="86"/>
      <c r="I3" s="86"/>
      <c r="J3" s="86"/>
      <c r="K3" s="86"/>
      <c r="L3" s="86"/>
      <c r="M3" s="86"/>
      <c r="N3" s="86"/>
      <c r="O3" s="86"/>
      <c r="P3" s="48"/>
      <c r="Q3" s="48"/>
      <c r="R3" s="48"/>
      <c r="S3" s="91"/>
      <c r="T3" s="48"/>
      <c r="U3" s="50"/>
    </row>
    <row r="4" spans="1:21" ht="73.5" hidden="1" customHeight="1" thickBot="1" x14ac:dyDescent="0.3">
      <c r="A4" s="85"/>
      <c r="B4" s="81" t="s">
        <v>132</v>
      </c>
      <c r="C4" s="75" t="s">
        <v>116</v>
      </c>
      <c r="D4" s="440"/>
      <c r="E4" s="440"/>
      <c r="F4" s="437"/>
      <c r="G4" s="89"/>
      <c r="H4" s="89"/>
      <c r="I4" s="89"/>
      <c r="J4" s="89"/>
      <c r="K4" s="89"/>
      <c r="L4" s="89"/>
      <c r="M4" s="89"/>
      <c r="N4" s="89"/>
      <c r="O4" s="89"/>
      <c r="P4" s="65"/>
      <c r="Q4" s="65"/>
      <c r="R4" s="65"/>
      <c r="S4" s="92"/>
      <c r="T4" s="65"/>
      <c r="U4" s="67"/>
    </row>
    <row r="5" spans="1:21" ht="30.75" customHeight="1" thickBot="1" x14ac:dyDescent="0.3">
      <c r="B5" s="427" t="s">
        <v>129</v>
      </c>
      <c r="C5" s="428"/>
      <c r="D5" s="441"/>
      <c r="E5" s="441"/>
      <c r="F5" s="438"/>
      <c r="G5" s="93">
        <v>5.6</v>
      </c>
      <c r="H5" s="93">
        <v>5.5</v>
      </c>
      <c r="I5" s="93">
        <v>4.5</v>
      </c>
      <c r="J5" s="93">
        <v>4.5999999999999996</v>
      </c>
      <c r="K5" s="93">
        <v>5</v>
      </c>
      <c r="L5" s="93">
        <v>5.4</v>
      </c>
      <c r="M5" s="93">
        <v>5.5</v>
      </c>
      <c r="N5" s="93">
        <v>4.2</v>
      </c>
      <c r="O5" s="93">
        <v>4.3</v>
      </c>
      <c r="P5" s="93">
        <v>4.8</v>
      </c>
      <c r="Q5" s="93">
        <v>5.7</v>
      </c>
      <c r="R5" s="93">
        <v>5.4</v>
      </c>
      <c r="S5" s="93">
        <v>5.7</v>
      </c>
      <c r="T5" s="93">
        <v>6</v>
      </c>
      <c r="U5" s="93">
        <v>4.7</v>
      </c>
    </row>
    <row r="7" spans="1:21" ht="15" customHeight="1" x14ac:dyDescent="0.25">
      <c r="B7" s="94"/>
      <c r="C7" s="94"/>
      <c r="D7" s="94"/>
      <c r="E7" s="94"/>
      <c r="F7" s="94"/>
      <c r="N7" s="95"/>
      <c r="O7" s="95"/>
    </row>
    <row r="8" spans="1:21" x14ac:dyDescent="0.25">
      <c r="B8" s="94"/>
      <c r="C8" s="94"/>
      <c r="D8" s="94"/>
      <c r="E8" s="94"/>
      <c r="F8" s="94"/>
      <c r="N8" s="95"/>
      <c r="O8" s="95"/>
      <c r="S8" s="64"/>
      <c r="T8" s="96"/>
    </row>
    <row r="9" spans="1:21" x14ac:dyDescent="0.25">
      <c r="B9" s="94"/>
      <c r="C9" s="94"/>
      <c r="D9" s="94"/>
      <c r="E9" s="94"/>
      <c r="F9" s="94"/>
      <c r="I9" s="70"/>
      <c r="J9" s="64"/>
      <c r="K9" s="69"/>
    </row>
    <row r="10" spans="1:21" x14ac:dyDescent="0.25">
      <c r="B10" s="94"/>
      <c r="C10" s="94"/>
      <c r="D10" s="94"/>
      <c r="E10" s="94"/>
      <c r="F10" s="94"/>
      <c r="I10" s="70"/>
      <c r="J10" s="64"/>
      <c r="K10" s="69"/>
    </row>
    <row r="11" spans="1:21" x14ac:dyDescent="0.25">
      <c r="B11" s="97"/>
      <c r="C11" s="97"/>
      <c r="D11" s="97"/>
      <c r="E11" s="97"/>
      <c r="F11" s="97"/>
      <c r="H11" s="71"/>
      <c r="I11" s="71"/>
      <c r="J11" s="71"/>
      <c r="K11" s="71"/>
      <c r="L11" s="71"/>
      <c r="M11" s="71"/>
      <c r="N11" s="71"/>
      <c r="O11" s="71"/>
    </row>
    <row r="12" spans="1:21" x14ac:dyDescent="0.25">
      <c r="B12" s="97"/>
      <c r="C12" s="97"/>
      <c r="D12" s="97"/>
      <c r="E12" s="97"/>
      <c r="F12" s="97"/>
    </row>
    <row r="13" spans="1:21" x14ac:dyDescent="0.25">
      <c r="B13" s="97"/>
      <c r="C13" s="97"/>
      <c r="D13" s="97"/>
      <c r="E13" s="97"/>
      <c r="F13" s="97"/>
    </row>
    <row r="14" spans="1:21" x14ac:dyDescent="0.25">
      <c r="B14" s="97"/>
      <c r="C14" s="97"/>
      <c r="D14" s="97"/>
      <c r="E14" s="97"/>
      <c r="F14" s="97"/>
    </row>
    <row r="15" spans="1:21" x14ac:dyDescent="0.25">
      <c r="B15" s="97"/>
      <c r="C15" s="97"/>
      <c r="D15" s="97"/>
      <c r="E15" s="97"/>
      <c r="F15" s="97"/>
    </row>
    <row r="16" spans="1:21" x14ac:dyDescent="0.25">
      <c r="B16" s="97"/>
      <c r="C16" s="97"/>
      <c r="D16" s="97"/>
      <c r="E16" s="97"/>
      <c r="F16" s="97"/>
    </row>
    <row r="17" spans="2:6" x14ac:dyDescent="0.25">
      <c r="B17" s="97"/>
      <c r="C17" s="97"/>
      <c r="D17" s="97"/>
      <c r="E17" s="97"/>
      <c r="F17" s="97"/>
    </row>
    <row r="32" spans="2:6" x14ac:dyDescent="0.25">
      <c r="F32" s="76" t="s">
        <v>123</v>
      </c>
    </row>
    <row r="33" spans="6:21" x14ac:dyDescent="0.25">
      <c r="F33" s="56" t="s">
        <v>46</v>
      </c>
      <c r="G33" s="99">
        <f>$D$3</f>
        <v>4</v>
      </c>
      <c r="H33" s="99">
        <f t="shared" ref="H33:U33" si="0">$D$3</f>
        <v>4</v>
      </c>
      <c r="I33" s="99">
        <f t="shared" si="0"/>
        <v>4</v>
      </c>
      <c r="J33" s="99">
        <f t="shared" si="0"/>
        <v>4</v>
      </c>
      <c r="K33" s="99">
        <f t="shared" si="0"/>
        <v>4</v>
      </c>
      <c r="L33" s="99">
        <f t="shared" si="0"/>
        <v>4</v>
      </c>
      <c r="M33" s="99">
        <f t="shared" si="0"/>
        <v>4</v>
      </c>
      <c r="N33" s="99">
        <f t="shared" si="0"/>
        <v>4</v>
      </c>
      <c r="O33" s="99">
        <f t="shared" si="0"/>
        <v>4</v>
      </c>
      <c r="P33" s="99">
        <f t="shared" si="0"/>
        <v>4</v>
      </c>
      <c r="Q33" s="99">
        <f t="shared" si="0"/>
        <v>4</v>
      </c>
      <c r="R33" s="99">
        <f t="shared" si="0"/>
        <v>4</v>
      </c>
      <c r="S33" s="99">
        <f t="shared" si="0"/>
        <v>4</v>
      </c>
      <c r="T33" s="99">
        <f t="shared" si="0"/>
        <v>4</v>
      </c>
      <c r="U33" s="99">
        <f t="shared" si="0"/>
        <v>4</v>
      </c>
    </row>
    <row r="34" spans="6:21" x14ac:dyDescent="0.25">
      <c r="F34" s="56" t="s">
        <v>47</v>
      </c>
      <c r="G34" s="99">
        <f>$E$3</f>
        <v>3</v>
      </c>
      <c r="H34" s="99">
        <f t="shared" ref="H34:U34" si="1">$E$3</f>
        <v>3</v>
      </c>
      <c r="I34" s="99">
        <f t="shared" si="1"/>
        <v>3</v>
      </c>
      <c r="J34" s="99">
        <f t="shared" si="1"/>
        <v>3</v>
      </c>
      <c r="K34" s="99">
        <f t="shared" si="1"/>
        <v>3</v>
      </c>
      <c r="L34" s="99">
        <f t="shared" si="1"/>
        <v>3</v>
      </c>
      <c r="M34" s="99">
        <f t="shared" si="1"/>
        <v>3</v>
      </c>
      <c r="N34" s="99">
        <f t="shared" si="1"/>
        <v>3</v>
      </c>
      <c r="O34" s="99">
        <f t="shared" si="1"/>
        <v>3</v>
      </c>
      <c r="P34" s="99">
        <f t="shared" si="1"/>
        <v>3</v>
      </c>
      <c r="Q34" s="99">
        <f t="shared" si="1"/>
        <v>3</v>
      </c>
      <c r="R34" s="99">
        <f t="shared" si="1"/>
        <v>3</v>
      </c>
      <c r="S34" s="99">
        <f t="shared" si="1"/>
        <v>3</v>
      </c>
      <c r="T34" s="99">
        <f t="shared" si="1"/>
        <v>3</v>
      </c>
      <c r="U34" s="99">
        <f t="shared" si="1"/>
        <v>3</v>
      </c>
    </row>
  </sheetData>
  <mergeCells count="5">
    <mergeCell ref="D3:D5"/>
    <mergeCell ref="E3:E5"/>
    <mergeCell ref="F3:F5"/>
    <mergeCell ref="B5:C5"/>
    <mergeCell ref="B2:C2"/>
  </mergeCells>
  <conditionalFormatting sqref="G5:U5">
    <cfRule type="cellIs" dxfId="52" priority="1" operator="equal">
      <formula>"Not Available"</formula>
    </cfRule>
    <cfRule type="cellIs" dxfId="51" priority="3" operator="lessThanOrEqual">
      <formula>$E3</formula>
    </cfRule>
    <cfRule type="cellIs" dxfId="50" priority="4" operator="lessThanOrEqual">
      <formula>$D3</formula>
    </cfRule>
  </conditionalFormatting>
  <pageMargins left="0.7" right="0.7" top="0.75" bottom="0.75" header="0.3" footer="0.3"/>
  <pageSetup scale="27" orientation="landscape"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Y34"/>
  <sheetViews>
    <sheetView zoomScale="80" zoomScaleNormal="80" workbookViewId="0">
      <selection activeCell="G44" sqref="G44"/>
    </sheetView>
  </sheetViews>
  <sheetFormatPr defaultRowHeight="12.75" x14ac:dyDescent="0.2"/>
  <cols>
    <col min="1" max="1" width="45.85546875" style="327" bestFit="1" customWidth="1"/>
    <col min="2" max="2" width="10.85546875" style="328" bestFit="1" customWidth="1"/>
    <col min="3" max="7" width="11.5703125" style="328" bestFit="1" customWidth="1"/>
    <col min="8" max="8" width="10.85546875" style="328" bestFit="1" customWidth="1"/>
    <col min="9" max="12" width="11.5703125" style="328" bestFit="1" customWidth="1"/>
    <col min="13" max="13" width="45.85546875" style="328" bestFit="1" customWidth="1"/>
    <col min="14" max="25" width="12.85546875" style="328" customWidth="1"/>
    <col min="26" max="16384" width="9.140625" style="328"/>
  </cols>
  <sheetData>
    <row r="2" spans="13:25" x14ac:dyDescent="0.2">
      <c r="M2" s="327"/>
    </row>
    <row r="3" spans="13:25" ht="18" x14ac:dyDescent="0.25">
      <c r="M3" s="332" t="s">
        <v>249</v>
      </c>
    </row>
    <row r="4" spans="13:25" x14ac:dyDescent="0.2">
      <c r="M4" s="327"/>
      <c r="N4" s="329" t="s">
        <v>211</v>
      </c>
      <c r="O4" s="329" t="s">
        <v>212</v>
      </c>
      <c r="P4" s="329" t="s">
        <v>213</v>
      </c>
      <c r="Q4" s="329" t="s">
        <v>214</v>
      </c>
      <c r="R4" s="329" t="s">
        <v>215</v>
      </c>
      <c r="S4" s="329" t="s">
        <v>216</v>
      </c>
      <c r="T4" s="329" t="s">
        <v>217</v>
      </c>
      <c r="U4" s="329" t="s">
        <v>218</v>
      </c>
      <c r="V4" s="329" t="s">
        <v>219</v>
      </c>
      <c r="W4" s="329" t="s">
        <v>220</v>
      </c>
      <c r="X4" s="329" t="s">
        <v>221</v>
      </c>
      <c r="Y4" s="329" t="s">
        <v>222</v>
      </c>
    </row>
    <row r="5" spans="13:25" x14ac:dyDescent="0.2">
      <c r="M5" s="330" t="s">
        <v>223</v>
      </c>
      <c r="N5" s="331">
        <v>587829</v>
      </c>
      <c r="O5" s="331">
        <v>715462</v>
      </c>
      <c r="P5" s="331">
        <v>665255</v>
      </c>
      <c r="Q5" s="331">
        <v>883104</v>
      </c>
      <c r="R5" s="331">
        <v>1048734</v>
      </c>
      <c r="S5" s="331">
        <v>763665</v>
      </c>
      <c r="T5" s="331">
        <v>770737</v>
      </c>
      <c r="U5" s="331">
        <v>774632</v>
      </c>
      <c r="V5" s="331">
        <v>809713</v>
      </c>
      <c r="W5" s="331">
        <v>973337</v>
      </c>
      <c r="X5" s="331">
        <v>877236</v>
      </c>
      <c r="Y5" s="331">
        <v>792516</v>
      </c>
    </row>
    <row r="6" spans="13:25" x14ac:dyDescent="0.2">
      <c r="M6" s="330" t="s">
        <v>224</v>
      </c>
      <c r="N6" s="331">
        <v>897589</v>
      </c>
      <c r="O6" s="331">
        <v>1209958</v>
      </c>
      <c r="P6" s="331">
        <v>935048</v>
      </c>
      <c r="Q6" s="331">
        <v>765326</v>
      </c>
      <c r="R6" s="331">
        <v>864458</v>
      </c>
      <c r="S6" s="331">
        <v>722817</v>
      </c>
      <c r="T6" s="331">
        <v>753365</v>
      </c>
      <c r="U6" s="331">
        <v>765230</v>
      </c>
      <c r="V6" s="331">
        <v>977131</v>
      </c>
      <c r="W6" s="331">
        <v>1235982</v>
      </c>
      <c r="X6" s="331">
        <v>1156484</v>
      </c>
      <c r="Y6" s="331">
        <v>1051164</v>
      </c>
    </row>
    <row r="7" spans="13:25" x14ac:dyDescent="0.2">
      <c r="M7" s="330" t="s">
        <v>225</v>
      </c>
      <c r="N7" s="331">
        <v>279380</v>
      </c>
      <c r="O7" s="331">
        <v>378616</v>
      </c>
      <c r="P7" s="331">
        <v>473913</v>
      </c>
      <c r="Q7" s="331">
        <v>530291</v>
      </c>
      <c r="R7" s="331">
        <v>622247</v>
      </c>
      <c r="S7" s="331">
        <v>512831</v>
      </c>
      <c r="T7" s="331">
        <v>519886</v>
      </c>
      <c r="U7" s="331">
        <v>482932</v>
      </c>
      <c r="V7" s="331">
        <v>485841</v>
      </c>
      <c r="W7" s="331">
        <v>556898</v>
      </c>
      <c r="X7" s="331">
        <v>498057</v>
      </c>
      <c r="Y7" s="331">
        <v>447964</v>
      </c>
    </row>
    <row r="8" spans="13:25" x14ac:dyDescent="0.2">
      <c r="M8" s="330" t="s">
        <v>226</v>
      </c>
      <c r="N8" s="331">
        <v>72390</v>
      </c>
      <c r="O8" s="331">
        <v>199686</v>
      </c>
    </row>
    <row r="9" spans="13:25" x14ac:dyDescent="0.2">
      <c r="M9" s="313" t="s">
        <v>227</v>
      </c>
      <c r="N9" s="314">
        <v>1837187</v>
      </c>
      <c r="O9" s="314">
        <v>2503722</v>
      </c>
      <c r="P9" s="314">
        <v>2074216</v>
      </c>
      <c r="Q9" s="314">
        <v>2178720</v>
      </c>
      <c r="R9" s="314">
        <v>2535439</v>
      </c>
      <c r="S9" s="314">
        <v>1999313</v>
      </c>
      <c r="T9" s="314">
        <v>2043989</v>
      </c>
      <c r="U9" s="314">
        <v>2022794</v>
      </c>
      <c r="V9" s="314">
        <v>2272685</v>
      </c>
      <c r="W9" s="314">
        <v>2766217</v>
      </c>
      <c r="X9" s="314">
        <v>2531777</v>
      </c>
      <c r="Y9" s="314">
        <v>2291644</v>
      </c>
    </row>
    <row r="10" spans="13:25" x14ac:dyDescent="0.2">
      <c r="M10" s="311" t="s">
        <v>228</v>
      </c>
      <c r="N10" s="312">
        <v>-92659</v>
      </c>
      <c r="O10" s="312">
        <v>-124838</v>
      </c>
      <c r="P10" s="312">
        <v>-101231</v>
      </c>
      <c r="Q10" s="312">
        <v>-160509</v>
      </c>
      <c r="R10" s="312">
        <v>-158278</v>
      </c>
      <c r="S10" s="312">
        <v>-129668</v>
      </c>
      <c r="T10" s="312">
        <v>-132370</v>
      </c>
      <c r="U10" s="312">
        <v>-125736</v>
      </c>
      <c r="V10" s="312">
        <v>-133215</v>
      </c>
      <c r="W10" s="312">
        <v>-157453</v>
      </c>
      <c r="X10" s="312">
        <v>-142501</v>
      </c>
      <c r="Y10" s="312">
        <v>-129060</v>
      </c>
    </row>
    <row r="11" spans="13:25" x14ac:dyDescent="0.2">
      <c r="M11" s="311" t="s">
        <v>229</v>
      </c>
      <c r="N11" s="312">
        <v>-421404</v>
      </c>
      <c r="O11" s="312">
        <v>-343890</v>
      </c>
      <c r="P11" s="312">
        <v>-309000</v>
      </c>
      <c r="Q11" s="312">
        <v>-271000</v>
      </c>
      <c r="R11" s="312">
        <v>-274000</v>
      </c>
      <c r="S11" s="312">
        <v>-275000</v>
      </c>
      <c r="T11" s="312">
        <v>-275000</v>
      </c>
      <c r="U11" s="312">
        <v>-275000</v>
      </c>
      <c r="V11" s="312">
        <v>-349840</v>
      </c>
      <c r="W11" s="312">
        <v>-450000</v>
      </c>
      <c r="X11" s="312">
        <v>-453000</v>
      </c>
      <c r="Y11" s="312">
        <v>-338000</v>
      </c>
    </row>
    <row r="12" spans="13:25" x14ac:dyDescent="0.2">
      <c r="M12" s="311" t="s">
        <v>230</v>
      </c>
      <c r="N12" s="312">
        <v>-945750</v>
      </c>
      <c r="O12" s="312">
        <v>-1022488</v>
      </c>
      <c r="P12" s="312">
        <v>-1071504</v>
      </c>
      <c r="Q12" s="312">
        <v>-1087903</v>
      </c>
      <c r="R12" s="312">
        <v>-1253085</v>
      </c>
      <c r="S12" s="312">
        <v>-1052283</v>
      </c>
      <c r="T12" s="312">
        <v>-873805</v>
      </c>
      <c r="U12" s="312">
        <v>-1134838</v>
      </c>
      <c r="V12" s="312">
        <v>-1026251</v>
      </c>
      <c r="W12" s="312">
        <v>-1202314</v>
      </c>
      <c r="X12" s="312">
        <v>-1201492</v>
      </c>
      <c r="Y12" s="312">
        <v>-1205309</v>
      </c>
    </row>
    <row r="13" spans="13:25" x14ac:dyDescent="0.2">
      <c r="M13" s="315" t="s">
        <v>231</v>
      </c>
      <c r="N13" s="316">
        <v>509233</v>
      </c>
      <c r="O13" s="316">
        <v>557858</v>
      </c>
      <c r="P13" s="316">
        <v>534586</v>
      </c>
      <c r="Q13" s="316">
        <v>606794</v>
      </c>
      <c r="R13" s="316">
        <v>646697</v>
      </c>
      <c r="S13" s="316">
        <v>576234</v>
      </c>
      <c r="T13" s="316">
        <v>478499</v>
      </c>
      <c r="U13" s="316">
        <v>621442</v>
      </c>
      <c r="V13" s="316">
        <v>561979</v>
      </c>
      <c r="W13" s="316">
        <v>658392</v>
      </c>
      <c r="X13" s="316">
        <v>657942</v>
      </c>
      <c r="Y13" s="316">
        <v>660032</v>
      </c>
    </row>
    <row r="14" spans="13:25" x14ac:dyDescent="0.2">
      <c r="M14" s="315" t="s">
        <v>232</v>
      </c>
      <c r="N14" s="316">
        <v>-404717</v>
      </c>
      <c r="O14" s="316">
        <v>-415118</v>
      </c>
      <c r="P14" s="316">
        <v>-409475</v>
      </c>
      <c r="Q14" s="316">
        <v>-411931</v>
      </c>
      <c r="R14" s="316">
        <v>-445048</v>
      </c>
      <c r="S14" s="316">
        <v>-419928</v>
      </c>
      <c r="T14" s="316">
        <v>-419928</v>
      </c>
      <c r="U14" s="316">
        <v>-419928</v>
      </c>
      <c r="V14" s="316">
        <v>-419928</v>
      </c>
      <c r="W14" s="316">
        <v>-419928</v>
      </c>
      <c r="X14" s="316">
        <v>-419928</v>
      </c>
      <c r="Y14" s="316">
        <v>-419928</v>
      </c>
    </row>
    <row r="15" spans="13:25" x14ac:dyDescent="0.2">
      <c r="M15" s="315" t="s">
        <v>233</v>
      </c>
      <c r="N15" s="316">
        <v>77613</v>
      </c>
      <c r="O15" s="316">
        <v>81859</v>
      </c>
      <c r="P15" s="316">
        <v>95863</v>
      </c>
      <c r="Q15" s="316">
        <v>94597</v>
      </c>
      <c r="R15" s="316">
        <v>113884</v>
      </c>
      <c r="S15" s="316">
        <v>90368</v>
      </c>
      <c r="T15" s="316">
        <v>90368</v>
      </c>
      <c r="U15" s="316">
        <v>90368</v>
      </c>
      <c r="V15" s="316">
        <v>90368</v>
      </c>
      <c r="W15" s="316">
        <v>90368</v>
      </c>
      <c r="X15" s="316">
        <v>90368</v>
      </c>
      <c r="Y15" s="316">
        <v>90368</v>
      </c>
    </row>
    <row r="16" spans="13:25" x14ac:dyDescent="0.2">
      <c r="M16" s="315" t="s">
        <v>234</v>
      </c>
      <c r="N16" s="316">
        <v>-39795</v>
      </c>
      <c r="O16" s="316">
        <v>-180397</v>
      </c>
      <c r="P16" s="316">
        <v>-7468</v>
      </c>
      <c r="Q16" s="316">
        <v>-34266</v>
      </c>
      <c r="R16" s="316">
        <v>-30945</v>
      </c>
      <c r="S16" s="316">
        <v>-26297</v>
      </c>
      <c r="T16" s="316">
        <v>-26297</v>
      </c>
      <c r="U16" s="316">
        <v>-26297</v>
      </c>
      <c r="V16" s="316">
        <v>-26297</v>
      </c>
      <c r="W16" s="316">
        <v>-26297</v>
      </c>
      <c r="X16" s="316">
        <v>-26297</v>
      </c>
      <c r="Y16" s="316">
        <v>-26297</v>
      </c>
    </row>
    <row r="17" spans="13:25" x14ac:dyDescent="0.2">
      <c r="M17" s="311" t="s">
        <v>235</v>
      </c>
      <c r="N17" s="312">
        <v>24704</v>
      </c>
      <c r="O17" s="312">
        <v>13598</v>
      </c>
      <c r="P17" s="312">
        <v>25591</v>
      </c>
      <c r="Q17" s="312">
        <v>38792</v>
      </c>
      <c r="R17" s="312">
        <v>51746</v>
      </c>
      <c r="S17" s="312">
        <v>40256</v>
      </c>
      <c r="T17" s="312">
        <v>40256</v>
      </c>
      <c r="U17" s="312">
        <v>40256</v>
      </c>
      <c r="V17" s="312">
        <v>40256</v>
      </c>
      <c r="W17" s="312">
        <v>40256</v>
      </c>
      <c r="X17" s="312">
        <v>40256</v>
      </c>
      <c r="Y17" s="312">
        <v>40256</v>
      </c>
    </row>
    <row r="18" spans="13:25" x14ac:dyDescent="0.2">
      <c r="M18" s="313" t="s">
        <v>236</v>
      </c>
      <c r="N18" s="314">
        <v>544412</v>
      </c>
      <c r="O18" s="314">
        <v>1070305</v>
      </c>
      <c r="P18" s="314">
        <v>831578</v>
      </c>
      <c r="Q18" s="314">
        <v>953293</v>
      </c>
      <c r="R18" s="314">
        <v>1186409</v>
      </c>
      <c r="S18" s="314">
        <v>802996</v>
      </c>
      <c r="T18" s="314">
        <v>925712</v>
      </c>
      <c r="U18" s="314">
        <v>793061</v>
      </c>
      <c r="V18" s="314">
        <v>1009758</v>
      </c>
      <c r="W18" s="314">
        <v>1299241</v>
      </c>
      <c r="X18" s="314">
        <v>1077125</v>
      </c>
      <c r="Y18" s="314">
        <v>963706</v>
      </c>
    </row>
    <row r="19" spans="13:25" x14ac:dyDescent="0.2">
      <c r="M19" s="311" t="s">
        <v>237</v>
      </c>
      <c r="N19" s="312">
        <v>544412</v>
      </c>
      <c r="O19" s="312">
        <v>1070305</v>
      </c>
      <c r="P19" s="312">
        <v>831578</v>
      </c>
      <c r="Q19" s="312">
        <v>953293</v>
      </c>
      <c r="R19" s="312">
        <v>1186409</v>
      </c>
      <c r="S19" s="312">
        <v>802996</v>
      </c>
      <c r="T19" s="312">
        <v>925712</v>
      </c>
      <c r="U19" s="312">
        <v>793061</v>
      </c>
      <c r="V19" s="312">
        <v>1009758</v>
      </c>
      <c r="W19" s="312">
        <v>1299241</v>
      </c>
      <c r="X19" s="312">
        <v>678679</v>
      </c>
      <c r="Y19" s="312">
        <v>605335</v>
      </c>
    </row>
    <row r="20" spans="13:25" x14ac:dyDescent="0.2">
      <c r="M20" s="311" t="s">
        <v>238</v>
      </c>
      <c r="N20" s="317">
        <v>0</v>
      </c>
      <c r="O20" s="317">
        <v>0</v>
      </c>
      <c r="P20" s="317">
        <v>0</v>
      </c>
      <c r="Q20" s="317">
        <v>0</v>
      </c>
      <c r="R20" s="317">
        <v>0</v>
      </c>
      <c r="S20" s="317">
        <v>0</v>
      </c>
      <c r="T20" s="317">
        <v>0</v>
      </c>
      <c r="U20" s="317">
        <v>0</v>
      </c>
      <c r="V20" s="317">
        <v>0</v>
      </c>
      <c r="W20" s="317">
        <v>0</v>
      </c>
      <c r="X20" s="312">
        <v>650000</v>
      </c>
      <c r="Y20" s="312">
        <v>650000</v>
      </c>
    </row>
    <row r="21" spans="13:25" x14ac:dyDescent="0.2">
      <c r="M21" s="311" t="s">
        <v>239</v>
      </c>
      <c r="N21" s="317">
        <v>0</v>
      </c>
      <c r="O21" s="317">
        <v>0</v>
      </c>
      <c r="P21" s="317">
        <v>0</v>
      </c>
      <c r="Q21" s="317">
        <v>0</v>
      </c>
      <c r="R21" s="317">
        <v>0</v>
      </c>
      <c r="S21" s="317">
        <v>0</v>
      </c>
      <c r="T21" s="317">
        <v>0</v>
      </c>
      <c r="U21" s="317">
        <v>0</v>
      </c>
      <c r="V21" s="317">
        <v>0</v>
      </c>
      <c r="W21" s="317">
        <v>0</v>
      </c>
      <c r="X21" s="317">
        <v>0</v>
      </c>
      <c r="Y21" s="317">
        <v>0</v>
      </c>
    </row>
    <row r="22" spans="13:25" x14ac:dyDescent="0.2">
      <c r="M22" s="310"/>
      <c r="N22" s="317">
        <v>0</v>
      </c>
      <c r="O22" s="317">
        <v>0</v>
      </c>
      <c r="P22" s="317">
        <v>0</v>
      </c>
      <c r="Q22" s="317">
        <v>0</v>
      </c>
      <c r="R22" s="317">
        <v>0</v>
      </c>
      <c r="S22" s="317">
        <v>0</v>
      </c>
      <c r="T22" s="317">
        <v>0</v>
      </c>
      <c r="U22" s="317">
        <v>0</v>
      </c>
      <c r="V22" s="317">
        <v>0</v>
      </c>
      <c r="W22" s="317">
        <v>0</v>
      </c>
      <c r="X22" s="312">
        <v>650000</v>
      </c>
      <c r="Y22" s="312">
        <v>650000</v>
      </c>
    </row>
    <row r="23" spans="13:25" x14ac:dyDescent="0.2">
      <c r="M23" s="318" t="s">
        <v>240</v>
      </c>
      <c r="N23" s="319">
        <v>3828705</v>
      </c>
      <c r="O23" s="319">
        <v>3323125</v>
      </c>
      <c r="P23" s="319">
        <v>3466175</v>
      </c>
      <c r="Q23" s="319">
        <v>3289392</v>
      </c>
      <c r="R23" s="319">
        <v>2333092</v>
      </c>
      <c r="S23" s="319">
        <v>2599980</v>
      </c>
      <c r="T23" s="319">
        <v>3926629</v>
      </c>
      <c r="U23" s="319">
        <v>4065684</v>
      </c>
      <c r="V23" s="319">
        <v>4126069</v>
      </c>
      <c r="W23" s="319">
        <v>3868620</v>
      </c>
      <c r="X23" s="319">
        <v>3496470</v>
      </c>
      <c r="Y23" s="319">
        <v>4113234</v>
      </c>
    </row>
    <row r="24" spans="13:25" x14ac:dyDescent="0.2">
      <c r="M24" s="318" t="s">
        <v>241</v>
      </c>
      <c r="N24" s="319">
        <v>2050000</v>
      </c>
      <c r="O24" s="319">
        <v>2200000</v>
      </c>
      <c r="P24" s="319">
        <v>1825000</v>
      </c>
      <c r="Q24" s="319">
        <v>2150000</v>
      </c>
      <c r="R24" s="319">
        <v>525000</v>
      </c>
      <c r="S24" s="319">
        <v>550000</v>
      </c>
      <c r="T24" s="319">
        <v>600000</v>
      </c>
      <c r="U24" s="319">
        <v>436252</v>
      </c>
      <c r="V24" s="319">
        <v>969040</v>
      </c>
      <c r="W24" s="319">
        <v>770688</v>
      </c>
      <c r="X24" s="319">
        <v>1192356</v>
      </c>
      <c r="Y24" s="319">
        <v>1135017</v>
      </c>
    </row>
    <row r="25" spans="13:25" x14ac:dyDescent="0.2">
      <c r="M25" s="318" t="s">
        <v>242</v>
      </c>
      <c r="N25" s="319">
        <v>5878705</v>
      </c>
      <c r="O25" s="319">
        <v>5523125</v>
      </c>
      <c r="P25" s="319">
        <v>5291175</v>
      </c>
      <c r="Q25" s="319">
        <v>5439392</v>
      </c>
      <c r="R25" s="319">
        <v>2858092</v>
      </c>
      <c r="S25" s="319">
        <v>3149980</v>
      </c>
      <c r="T25" s="319">
        <v>4526629</v>
      </c>
      <c r="U25" s="319">
        <v>4501936</v>
      </c>
      <c r="V25" s="319">
        <v>5095108</v>
      </c>
      <c r="W25" s="319">
        <v>4639308</v>
      </c>
      <c r="X25" s="319">
        <v>4688826</v>
      </c>
      <c r="Y25" s="319">
        <v>5248251</v>
      </c>
    </row>
    <row r="26" spans="13:25" x14ac:dyDescent="0.2">
      <c r="M26" s="318" t="s">
        <v>243</v>
      </c>
      <c r="N26" s="320">
        <v>0</v>
      </c>
      <c r="O26" s="320">
        <v>0</v>
      </c>
      <c r="P26" s="320">
        <v>0</v>
      </c>
      <c r="Q26" s="320">
        <v>0</v>
      </c>
      <c r="R26" s="319">
        <v>1500000</v>
      </c>
      <c r="S26" s="319">
        <v>1500000</v>
      </c>
      <c r="T26" s="319">
        <v>1500000</v>
      </c>
      <c r="U26" s="319">
        <v>1500000</v>
      </c>
      <c r="V26" s="319">
        <v>1500000</v>
      </c>
      <c r="W26" s="319">
        <v>1500000</v>
      </c>
      <c r="X26" s="319">
        <v>1500000</v>
      </c>
      <c r="Y26" s="320">
        <v>0</v>
      </c>
    </row>
    <row r="27" spans="13:25" x14ac:dyDescent="0.2">
      <c r="M27" s="318" t="s">
        <v>244</v>
      </c>
      <c r="N27" s="321"/>
      <c r="O27" s="321"/>
      <c r="P27" s="321"/>
      <c r="Q27" s="321"/>
      <c r="R27" s="320">
        <v>0</v>
      </c>
      <c r="S27" s="320">
        <v>0</v>
      </c>
      <c r="T27" s="320">
        <v>0</v>
      </c>
      <c r="U27" s="320">
        <v>0</v>
      </c>
      <c r="V27" s="320">
        <v>0</v>
      </c>
      <c r="W27" s="320">
        <v>0</v>
      </c>
      <c r="X27" s="320">
        <v>0</v>
      </c>
      <c r="Y27" s="320">
        <v>0</v>
      </c>
    </row>
    <row r="28" spans="13:25" x14ac:dyDescent="0.2">
      <c r="M28" s="313" t="s">
        <v>245</v>
      </c>
      <c r="N28" s="314">
        <v>5878705</v>
      </c>
      <c r="O28" s="314">
        <v>5523125</v>
      </c>
      <c r="P28" s="314">
        <v>5291175</v>
      </c>
      <c r="Q28" s="314">
        <v>5439392</v>
      </c>
      <c r="R28" s="314">
        <v>4358092</v>
      </c>
      <c r="S28" s="314">
        <v>4649980</v>
      </c>
      <c r="T28" s="314">
        <v>6026629</v>
      </c>
      <c r="U28" s="314">
        <v>6001936</v>
      </c>
      <c r="V28" s="314">
        <v>6595108</v>
      </c>
      <c r="W28" s="314">
        <v>6139308</v>
      </c>
      <c r="X28" s="314">
        <v>6188826</v>
      </c>
      <c r="Y28" s="314">
        <v>5248251</v>
      </c>
    </row>
    <row r="29" spans="13:25" x14ac:dyDescent="0.2">
      <c r="M29" s="322" t="s">
        <v>246</v>
      </c>
      <c r="N29" s="323">
        <v>6.1</v>
      </c>
      <c r="O29" s="324">
        <v>6</v>
      </c>
      <c r="P29" s="323">
        <v>5.6</v>
      </c>
      <c r="Q29" s="323">
        <v>5.4</v>
      </c>
      <c r="R29" s="323">
        <v>4.4000000000000004</v>
      </c>
      <c r="S29" s="323">
        <v>4.5999999999999996</v>
      </c>
      <c r="T29" s="323">
        <v>6.1</v>
      </c>
      <c r="U29" s="324">
        <v>6</v>
      </c>
      <c r="V29" s="323">
        <v>6.7</v>
      </c>
      <c r="W29" s="323">
        <v>6.8</v>
      </c>
      <c r="X29" s="323">
        <v>6.2</v>
      </c>
      <c r="Y29" s="323">
        <v>5.3</v>
      </c>
    </row>
    <row r="30" spans="13:25" x14ac:dyDescent="0.2">
      <c r="M30" s="311"/>
      <c r="N30" s="325"/>
      <c r="O30" s="326"/>
      <c r="P30" s="325"/>
      <c r="Q30" s="325"/>
      <c r="R30" s="325"/>
      <c r="S30" s="325"/>
      <c r="T30" s="325"/>
      <c r="U30" s="326"/>
      <c r="V30" s="325"/>
      <c r="W30" s="325"/>
      <c r="X30" s="325"/>
      <c r="Y30" s="325"/>
    </row>
    <row r="31" spans="13:25" x14ac:dyDescent="0.2">
      <c r="M31" s="311" t="s">
        <v>247</v>
      </c>
      <c r="N31" s="309"/>
      <c r="O31" s="309"/>
      <c r="P31" s="309"/>
      <c r="Q31" s="309"/>
      <c r="R31" s="309"/>
      <c r="S31" s="309"/>
      <c r="T31" s="309"/>
      <c r="U31" s="309"/>
      <c r="V31" s="309"/>
      <c r="W31" s="309"/>
      <c r="X31" s="309"/>
      <c r="Y31" s="309"/>
    </row>
    <row r="32" spans="13:25" x14ac:dyDescent="0.2">
      <c r="M32" s="322" t="s">
        <v>248</v>
      </c>
      <c r="N32" s="323">
        <v>8.1999999999999993</v>
      </c>
      <c r="O32" s="324">
        <v>7.5</v>
      </c>
      <c r="P32" s="323">
        <v>5.6</v>
      </c>
      <c r="Q32" s="323">
        <v>6.9</v>
      </c>
      <c r="R32" s="323">
        <v>6.8</v>
      </c>
      <c r="S32" s="323">
        <v>6.5</v>
      </c>
      <c r="T32" s="323">
        <v>9</v>
      </c>
      <c r="U32" s="324">
        <v>8.6999999999999993</v>
      </c>
      <c r="V32" s="323">
        <v>10</v>
      </c>
      <c r="W32" s="323">
        <v>10.5</v>
      </c>
      <c r="X32" s="323">
        <v>9.6</v>
      </c>
      <c r="Y32" s="323">
        <v>8.1999999999999993</v>
      </c>
    </row>
    <row r="33" spans="13:25" x14ac:dyDescent="0.2">
      <c r="M33" s="310"/>
      <c r="N33" s="309"/>
      <c r="O33" s="309"/>
      <c r="P33" s="309"/>
      <c r="Q33" s="309"/>
      <c r="R33" s="309"/>
      <c r="S33" s="309"/>
      <c r="T33" s="309"/>
      <c r="U33" s="309"/>
      <c r="V33" s="309"/>
      <c r="W33" s="309"/>
      <c r="X33" s="309"/>
      <c r="Y33" s="309"/>
    </row>
    <row r="34" spans="13:25" x14ac:dyDescent="0.2">
      <c r="M34" s="310"/>
      <c r="N34" s="309"/>
      <c r="O34" s="309"/>
      <c r="P34" s="309"/>
      <c r="Q34" s="309"/>
      <c r="R34" s="309"/>
      <c r="S34" s="309"/>
      <c r="T34" s="309"/>
      <c r="U34" s="309"/>
      <c r="V34" s="309"/>
      <c r="W34" s="309"/>
      <c r="X34" s="309"/>
      <c r="Y34" s="309"/>
    </row>
  </sheetData>
  <pageMargins left="0.7" right="0.7" top="0.75" bottom="0.75" header="0.3" footer="0.3"/>
  <pageSetup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U34"/>
  <sheetViews>
    <sheetView zoomScale="85" zoomScaleNormal="85" workbookViewId="0">
      <selection activeCell="M16" sqref="M16"/>
    </sheetView>
  </sheetViews>
  <sheetFormatPr defaultColWidth="9.140625" defaultRowHeight="15" x14ac:dyDescent="0.25"/>
  <cols>
    <col min="1" max="1" width="5.28515625" style="56" customWidth="1"/>
    <col min="2" max="2" width="39.5703125" style="56" customWidth="1"/>
    <col min="3" max="3" width="20.85546875" style="56" customWidth="1"/>
    <col min="4" max="4" width="19.28515625" style="56" customWidth="1"/>
    <col min="5" max="5" width="17.140625" style="56" customWidth="1"/>
    <col min="6" max="6" width="19" style="56" customWidth="1"/>
    <col min="7" max="21" width="21.140625" style="56" customWidth="1"/>
    <col min="22" max="16384" width="9.140625" style="56"/>
  </cols>
  <sheetData>
    <row r="1" spans="1:21" ht="15.75" thickBot="1" x14ac:dyDescent="0.3"/>
    <row r="2" spans="1:21" ht="15.75" thickBot="1" x14ac:dyDescent="0.3">
      <c r="B2" s="45" t="s">
        <v>121</v>
      </c>
      <c r="C2" s="46" t="s">
        <v>122</v>
      </c>
      <c r="D2" s="42" t="s">
        <v>118</v>
      </c>
      <c r="E2" s="43" t="s">
        <v>119</v>
      </c>
      <c r="F2" s="44" t="s">
        <v>120</v>
      </c>
      <c r="G2" s="40">
        <v>42005</v>
      </c>
      <c r="H2" s="39">
        <v>42036</v>
      </c>
      <c r="I2" s="39">
        <v>42064</v>
      </c>
      <c r="J2" s="39">
        <v>42095</v>
      </c>
      <c r="K2" s="39">
        <v>42125</v>
      </c>
      <c r="L2" s="39">
        <v>42156</v>
      </c>
      <c r="M2" s="39">
        <v>42186</v>
      </c>
      <c r="N2" s="39">
        <v>42217</v>
      </c>
      <c r="O2" s="39">
        <v>42248</v>
      </c>
      <c r="P2" s="39">
        <v>42278</v>
      </c>
      <c r="Q2" s="39">
        <v>42309</v>
      </c>
      <c r="R2" s="39">
        <v>42339</v>
      </c>
      <c r="S2" s="39">
        <v>42370</v>
      </c>
      <c r="T2" s="39">
        <v>42401</v>
      </c>
      <c r="U2" s="39">
        <v>42430</v>
      </c>
    </row>
    <row r="3" spans="1:21" ht="50.25" customHeight="1" thickBot="1" x14ac:dyDescent="0.3">
      <c r="A3" s="85"/>
      <c r="B3" s="106" t="s">
        <v>133</v>
      </c>
      <c r="C3" s="107" t="s">
        <v>134</v>
      </c>
      <c r="D3" s="447">
        <v>-75000000</v>
      </c>
      <c r="E3" s="447">
        <v>-100000000</v>
      </c>
      <c r="F3" s="430" t="s">
        <v>117</v>
      </c>
      <c r="G3" s="78">
        <v>-41000000</v>
      </c>
      <c r="H3" s="48">
        <v>-40000000</v>
      </c>
      <c r="I3" s="48">
        <v>-50000000</v>
      </c>
      <c r="J3" s="48">
        <v>-38000000</v>
      </c>
      <c r="K3" s="48">
        <v>-41134979.429027826</v>
      </c>
      <c r="L3" s="48">
        <v>-36814970.776156515</v>
      </c>
      <c r="M3" s="48">
        <v>-40376222.022295028</v>
      </c>
      <c r="N3" s="48">
        <v>-39493733.530354977</v>
      </c>
      <c r="O3" s="48">
        <v>-41799436.259999998</v>
      </c>
      <c r="P3" s="48">
        <v>-42121018.925791018</v>
      </c>
      <c r="Q3" s="48">
        <v>-39185157.331596598</v>
      </c>
      <c r="R3" s="63">
        <v>-47412645.687351853</v>
      </c>
      <c r="S3" s="61">
        <v>-51407079.539999999</v>
      </c>
      <c r="T3" s="61">
        <v>-46809176.125503697</v>
      </c>
      <c r="U3" s="62">
        <v>-55608098.633277833</v>
      </c>
    </row>
    <row r="4" spans="1:21" ht="50.25" customHeight="1" thickBot="1" x14ac:dyDescent="0.3">
      <c r="B4" s="427" t="s">
        <v>135</v>
      </c>
      <c r="C4" s="428"/>
      <c r="D4" s="448"/>
      <c r="E4" s="448"/>
      <c r="F4" s="431"/>
      <c r="G4" s="108">
        <v>-41000000</v>
      </c>
      <c r="H4" s="108">
        <v>-40000000</v>
      </c>
      <c r="I4" s="108">
        <v>-50000000</v>
      </c>
      <c r="J4" s="108">
        <v>-38000000</v>
      </c>
      <c r="K4" s="108">
        <v>-41134979.429027826</v>
      </c>
      <c r="L4" s="108">
        <v>-36814970.776156515</v>
      </c>
      <c r="M4" s="108">
        <v>-40376222.022295028</v>
      </c>
      <c r="N4" s="108">
        <v>-39493733.530354977</v>
      </c>
      <c r="O4" s="108">
        <v>-41799436.259999998</v>
      </c>
      <c r="P4" s="108">
        <v>-42121018.925791018</v>
      </c>
      <c r="Q4" s="108">
        <v>-39185157.331596598</v>
      </c>
      <c r="R4" s="108">
        <v>-47412645.687351853</v>
      </c>
      <c r="S4" s="109">
        <v>-51407079.539999999</v>
      </c>
      <c r="T4" s="109">
        <v>-46809176.125503697</v>
      </c>
      <c r="U4" s="109">
        <v>-55608098.633277833</v>
      </c>
    </row>
    <row r="5" spans="1:21" x14ac:dyDescent="0.25">
      <c r="B5" s="445"/>
      <c r="C5" s="445"/>
      <c r="D5" s="445"/>
      <c r="E5" s="445"/>
      <c r="F5" s="445"/>
    </row>
    <row r="6" spans="1:21" x14ac:dyDescent="0.25">
      <c r="B6" s="446"/>
      <c r="C6" s="446"/>
      <c r="D6" s="446"/>
      <c r="E6" s="446"/>
      <c r="F6" s="446"/>
      <c r="G6" s="70"/>
      <c r="H6" s="70"/>
      <c r="I6" s="70"/>
      <c r="J6" s="70"/>
      <c r="K6" s="70"/>
      <c r="L6" s="70"/>
    </row>
    <row r="10" spans="1:21" x14ac:dyDescent="0.25">
      <c r="G10" s="70"/>
      <c r="H10" s="70"/>
      <c r="I10" s="70"/>
      <c r="J10" s="70"/>
      <c r="K10" s="70"/>
      <c r="L10" s="70"/>
      <c r="M10" s="70"/>
      <c r="N10" s="70"/>
    </row>
    <row r="11" spans="1:21" x14ac:dyDescent="0.25">
      <c r="G11" s="70"/>
      <c r="H11" s="70"/>
      <c r="I11" s="70"/>
      <c r="J11" s="70"/>
      <c r="K11" s="70"/>
      <c r="L11" s="70"/>
      <c r="M11" s="70"/>
      <c r="N11" s="70"/>
    </row>
    <row r="12" spans="1:21" x14ac:dyDescent="0.25">
      <c r="G12" s="64"/>
      <c r="H12" s="64"/>
      <c r="I12" s="64"/>
      <c r="J12" s="64"/>
      <c r="K12" s="64"/>
      <c r="L12" s="64"/>
      <c r="M12" s="64"/>
      <c r="N12" s="64"/>
    </row>
    <row r="15" spans="1:21" x14ac:dyDescent="0.25">
      <c r="M15" s="70"/>
    </row>
    <row r="32" spans="6:6" x14ac:dyDescent="0.25">
      <c r="F32" s="76" t="s">
        <v>123</v>
      </c>
    </row>
    <row r="33" spans="6:21" x14ac:dyDescent="0.25">
      <c r="F33" s="56" t="s">
        <v>46</v>
      </c>
      <c r="G33" s="110">
        <v>-75000000</v>
      </c>
      <c r="H33" s="110">
        <v>-75000000</v>
      </c>
      <c r="I33" s="110">
        <v>-75000000</v>
      </c>
      <c r="J33" s="110">
        <v>-75000000</v>
      </c>
      <c r="K33" s="110">
        <v>-75000000</v>
      </c>
      <c r="L33" s="110">
        <v>-75000000</v>
      </c>
      <c r="M33" s="110">
        <v>-75000000</v>
      </c>
      <c r="N33" s="110">
        <v>-75000000</v>
      </c>
      <c r="O33" s="110">
        <v>-75000000</v>
      </c>
      <c r="P33" s="110">
        <v>-75000000</v>
      </c>
      <c r="Q33" s="110">
        <v>-75000000</v>
      </c>
      <c r="R33" s="110">
        <v>-75000000</v>
      </c>
      <c r="S33" s="110">
        <v>-75000000</v>
      </c>
      <c r="T33" s="110">
        <v>-75000000</v>
      </c>
      <c r="U33" s="110">
        <v>-75000000</v>
      </c>
    </row>
    <row r="34" spans="6:21" x14ac:dyDescent="0.25">
      <c r="F34" s="56" t="s">
        <v>47</v>
      </c>
      <c r="G34" s="110">
        <v>-100000000</v>
      </c>
      <c r="H34" s="110">
        <v>-100000000</v>
      </c>
      <c r="I34" s="110">
        <v>-100000000</v>
      </c>
      <c r="J34" s="110">
        <v>-100000000</v>
      </c>
      <c r="K34" s="110">
        <v>-100000000</v>
      </c>
      <c r="L34" s="110">
        <v>-100000000</v>
      </c>
      <c r="M34" s="110">
        <v>-100000000</v>
      </c>
      <c r="N34" s="110">
        <v>-100000000</v>
      </c>
      <c r="O34" s="110">
        <v>-100000000</v>
      </c>
      <c r="P34" s="110">
        <v>-100000000</v>
      </c>
      <c r="Q34" s="110">
        <v>-100000000</v>
      </c>
      <c r="R34" s="110">
        <v>-100000000</v>
      </c>
      <c r="S34" s="110">
        <v>-100000000</v>
      </c>
      <c r="T34" s="110">
        <v>-100000000</v>
      </c>
      <c r="U34" s="110">
        <v>-100000000</v>
      </c>
    </row>
  </sheetData>
  <mergeCells count="5">
    <mergeCell ref="B5:F6"/>
    <mergeCell ref="D3:D4"/>
    <mergeCell ref="E3:E4"/>
    <mergeCell ref="F3:F4"/>
    <mergeCell ref="B4:C4"/>
  </mergeCells>
  <conditionalFormatting sqref="G4:U4">
    <cfRule type="cellIs" dxfId="49" priority="3" operator="lessThanOrEqual">
      <formula>$E3</formula>
    </cfRule>
    <cfRule type="cellIs" dxfId="48" priority="4" operator="lessThanOrEqual">
      <formula>$D3</formula>
    </cfRule>
  </conditionalFormatting>
  <conditionalFormatting sqref="G4:U4">
    <cfRule type="cellIs" dxfId="47" priority="2" operator="equal">
      <formula>"Not Available"</formula>
    </cfRule>
  </conditionalFormatting>
  <pageMargins left="0.7" right="0.7" top="0.75" bottom="0.75" header="0.3" footer="0.3"/>
  <pageSetup scale="27" orientation="landscape"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AE34"/>
  <sheetViews>
    <sheetView zoomScale="85" zoomScaleNormal="85" workbookViewId="0">
      <selection activeCell="B7" sqref="B7"/>
    </sheetView>
  </sheetViews>
  <sheetFormatPr defaultColWidth="9.140625" defaultRowHeight="15" x14ac:dyDescent="0.25"/>
  <cols>
    <col min="1" max="1" width="3.5703125" style="56" customWidth="1"/>
    <col min="2" max="2" width="39.5703125" style="56" customWidth="1"/>
    <col min="3" max="3" width="20.85546875" style="56" customWidth="1"/>
    <col min="4" max="4" width="19.28515625" style="56" customWidth="1"/>
    <col min="5" max="5" width="17.140625" style="56" customWidth="1"/>
    <col min="6" max="6" width="19" style="56" customWidth="1"/>
    <col min="7" max="21" width="21.140625" style="56" customWidth="1"/>
    <col min="22" max="30" width="21.140625" style="56" hidden="1" customWidth="1"/>
    <col min="31" max="31" width="1.28515625" style="56" customWidth="1"/>
    <col min="32" max="16384" width="9.140625" style="56"/>
  </cols>
  <sheetData>
    <row r="1" spans="2:31" ht="15.75" thickBot="1" x14ac:dyDescent="0.3"/>
    <row r="2" spans="2:31" ht="15.75" thickBot="1" x14ac:dyDescent="0.3">
      <c r="B2" s="45" t="s">
        <v>121</v>
      </c>
      <c r="C2" s="46" t="s">
        <v>122</v>
      </c>
      <c r="D2" s="42" t="s">
        <v>118</v>
      </c>
      <c r="E2" s="43" t="s">
        <v>119</v>
      </c>
      <c r="F2" s="44" t="s">
        <v>120</v>
      </c>
      <c r="G2" s="40">
        <v>42005</v>
      </c>
      <c r="H2" s="39">
        <v>42036</v>
      </c>
      <c r="I2" s="39">
        <v>42064</v>
      </c>
      <c r="J2" s="39">
        <v>42095</v>
      </c>
      <c r="K2" s="39">
        <v>42125</v>
      </c>
      <c r="L2" s="39">
        <v>42156</v>
      </c>
      <c r="M2" s="39">
        <v>42186</v>
      </c>
      <c r="N2" s="39">
        <v>42217</v>
      </c>
      <c r="O2" s="39">
        <v>42248</v>
      </c>
      <c r="P2" s="39">
        <v>42278</v>
      </c>
      <c r="Q2" s="39">
        <v>42309</v>
      </c>
      <c r="R2" s="39">
        <v>42339</v>
      </c>
      <c r="S2" s="39">
        <v>42370</v>
      </c>
      <c r="T2" s="39">
        <v>42401</v>
      </c>
      <c r="U2" s="39">
        <v>42430</v>
      </c>
      <c r="V2" s="39">
        <v>42461</v>
      </c>
      <c r="W2" s="39">
        <v>42491</v>
      </c>
      <c r="X2" s="39">
        <v>42522</v>
      </c>
      <c r="Y2" s="39">
        <v>42552</v>
      </c>
      <c r="Z2" s="39">
        <v>42583</v>
      </c>
      <c r="AA2" s="39">
        <v>42614</v>
      </c>
      <c r="AB2" s="39">
        <v>42644</v>
      </c>
      <c r="AC2" s="39">
        <v>42675</v>
      </c>
      <c r="AD2" s="39">
        <v>42705</v>
      </c>
      <c r="AE2" s="58"/>
    </row>
    <row r="3" spans="2:31" ht="50.25" customHeight="1" thickBot="1" x14ac:dyDescent="0.3">
      <c r="B3" s="106" t="s">
        <v>136</v>
      </c>
      <c r="C3" s="107" t="s">
        <v>134</v>
      </c>
      <c r="D3" s="451">
        <v>-280000000</v>
      </c>
      <c r="E3" s="451">
        <v>-350000000</v>
      </c>
      <c r="F3" s="429" t="s">
        <v>117</v>
      </c>
      <c r="G3" s="100">
        <v>-200062152.75987354</v>
      </c>
      <c r="H3" s="101">
        <v>-204389981.0490841</v>
      </c>
      <c r="I3" s="101">
        <v>-240516643.16487995</v>
      </c>
      <c r="J3" s="101">
        <v>-214391501.4265894</v>
      </c>
      <c r="K3" s="101">
        <v>-263454627.15456364</v>
      </c>
      <c r="L3" s="101">
        <v>-167313313.64932567</v>
      </c>
      <c r="M3" s="101">
        <v>-218668656.31404841</v>
      </c>
      <c r="N3" s="101">
        <v>-202012852.51875332</v>
      </c>
      <c r="O3" s="101">
        <v>-226452674.77000001</v>
      </c>
      <c r="P3" s="101">
        <v>-235174555.3757405</v>
      </c>
      <c r="Q3" s="101">
        <v>-209514162.29455194</v>
      </c>
      <c r="R3" s="102">
        <v>-227023496.79746908</v>
      </c>
      <c r="S3" s="101">
        <v>-207861280</v>
      </c>
      <c r="T3" s="101">
        <v>-202393845.18108201</v>
      </c>
      <c r="U3" s="103">
        <v>-215827584.38591433</v>
      </c>
      <c r="V3" s="104"/>
      <c r="W3" s="104"/>
      <c r="X3" s="104"/>
      <c r="Y3" s="104"/>
      <c r="Z3" s="104"/>
      <c r="AA3" s="104"/>
      <c r="AB3" s="104"/>
      <c r="AC3" s="104"/>
      <c r="AD3" s="104"/>
    </row>
    <row r="4" spans="2:31" ht="50.25" customHeight="1" thickBot="1" x14ac:dyDescent="0.3">
      <c r="B4" s="427" t="s">
        <v>137</v>
      </c>
      <c r="C4" s="428"/>
      <c r="D4" s="448"/>
      <c r="E4" s="448"/>
      <c r="F4" s="431"/>
      <c r="G4" s="111">
        <v>-200062152.75987354</v>
      </c>
      <c r="H4" s="111">
        <v>-204389981.0490841</v>
      </c>
      <c r="I4" s="111">
        <v>-240516643.16487995</v>
      </c>
      <c r="J4" s="111">
        <v>-214391501.4265894</v>
      </c>
      <c r="K4" s="111">
        <v>-263454627.15456364</v>
      </c>
      <c r="L4" s="111">
        <v>-167313313.64932567</v>
      </c>
      <c r="M4" s="111">
        <v>-218668656.31404841</v>
      </c>
      <c r="N4" s="111">
        <v>-202012852.51875332</v>
      </c>
      <c r="O4" s="111">
        <v>-226452674.77000001</v>
      </c>
      <c r="P4" s="111">
        <v>-235174555.3757405</v>
      </c>
      <c r="Q4" s="111">
        <v>-209514162.29455194</v>
      </c>
      <c r="R4" s="111">
        <v>-227023496.79746908</v>
      </c>
      <c r="S4" s="112">
        <v>-207861280</v>
      </c>
      <c r="T4" s="112">
        <v>-202393845.18108201</v>
      </c>
      <c r="U4" s="112">
        <v>-215827584.38591433</v>
      </c>
      <c r="V4" s="105" t="s">
        <v>138</v>
      </c>
      <c r="W4" s="105" t="s">
        <v>138</v>
      </c>
      <c r="X4" s="105" t="s">
        <v>138</v>
      </c>
      <c r="Y4" s="105" t="s">
        <v>138</v>
      </c>
      <c r="Z4" s="105" t="s">
        <v>138</v>
      </c>
      <c r="AA4" s="105" t="s">
        <v>138</v>
      </c>
      <c r="AB4" s="105" t="s">
        <v>138</v>
      </c>
      <c r="AC4" s="105" t="s">
        <v>138</v>
      </c>
      <c r="AD4" s="105" t="s">
        <v>138</v>
      </c>
    </row>
    <row r="5" spans="2:31" ht="27" customHeight="1" x14ac:dyDescent="0.25">
      <c r="B5" s="449" t="s">
        <v>171</v>
      </c>
      <c r="C5" s="449"/>
      <c r="D5" s="449"/>
      <c r="E5" s="449"/>
      <c r="F5" s="449"/>
    </row>
    <row r="6" spans="2:31" ht="21.75" customHeight="1" x14ac:dyDescent="0.25">
      <c r="B6" s="450"/>
      <c r="C6" s="450"/>
      <c r="D6" s="450"/>
      <c r="E6" s="450"/>
      <c r="F6" s="450"/>
      <c r="G6" s="70"/>
      <c r="H6" s="70"/>
      <c r="I6" s="70"/>
      <c r="J6" s="70"/>
      <c r="K6" s="70"/>
      <c r="L6" s="70"/>
    </row>
    <row r="10" spans="2:31" x14ac:dyDescent="0.25">
      <c r="G10" s="70"/>
      <c r="H10" s="70"/>
      <c r="I10" s="70"/>
      <c r="J10" s="70"/>
      <c r="K10" s="70"/>
      <c r="L10" s="70"/>
      <c r="M10" s="70"/>
      <c r="N10" s="70"/>
    </row>
    <row r="11" spans="2:31" x14ac:dyDescent="0.25">
      <c r="G11" s="70"/>
      <c r="H11" s="70"/>
      <c r="I11" s="70"/>
      <c r="J11" s="70"/>
      <c r="K11" s="70"/>
      <c r="L11" s="70"/>
      <c r="M11" s="70"/>
      <c r="N11" s="70"/>
    </row>
    <row r="12" spans="2:31" x14ac:dyDescent="0.25">
      <c r="G12" s="64"/>
      <c r="H12" s="64"/>
      <c r="I12" s="64"/>
      <c r="J12" s="64"/>
      <c r="K12" s="64"/>
      <c r="L12" s="64"/>
      <c r="M12" s="64"/>
      <c r="N12" s="64"/>
    </row>
    <row r="15" spans="2:31" x14ac:dyDescent="0.25">
      <c r="M15" s="70"/>
    </row>
    <row r="32" spans="6:6" x14ac:dyDescent="0.25">
      <c r="F32" s="76" t="s">
        <v>123</v>
      </c>
    </row>
    <row r="33" spans="6:21" x14ac:dyDescent="0.25">
      <c r="F33" s="56" t="s">
        <v>46</v>
      </c>
      <c r="G33" s="110">
        <v>-280000000</v>
      </c>
      <c r="H33" s="110">
        <v>-280000000</v>
      </c>
      <c r="I33" s="110">
        <v>-280000000</v>
      </c>
      <c r="J33" s="110">
        <v>-280000000</v>
      </c>
      <c r="K33" s="110">
        <v>-280000000</v>
      </c>
      <c r="L33" s="110">
        <v>-280000000</v>
      </c>
      <c r="M33" s="110">
        <v>-280000000</v>
      </c>
      <c r="N33" s="110">
        <v>-280000000</v>
      </c>
      <c r="O33" s="110">
        <v>-280000000</v>
      </c>
      <c r="P33" s="110">
        <v>-280000000</v>
      </c>
      <c r="Q33" s="110">
        <v>-280000000</v>
      </c>
      <c r="R33" s="110">
        <v>-280000000</v>
      </c>
      <c r="S33" s="110">
        <v>-280000000</v>
      </c>
      <c r="T33" s="110">
        <v>-280000000</v>
      </c>
      <c r="U33" s="110">
        <v>-280000000</v>
      </c>
    </row>
    <row r="34" spans="6:21" x14ac:dyDescent="0.25">
      <c r="F34" s="56" t="s">
        <v>47</v>
      </c>
      <c r="G34" s="110">
        <v>-350000000</v>
      </c>
      <c r="H34" s="110">
        <v>-350000000</v>
      </c>
      <c r="I34" s="110">
        <v>-350000000</v>
      </c>
      <c r="J34" s="110">
        <v>-350000000</v>
      </c>
      <c r="K34" s="110">
        <v>-350000000</v>
      </c>
      <c r="L34" s="110">
        <v>-350000000</v>
      </c>
      <c r="M34" s="110">
        <v>-350000000</v>
      </c>
      <c r="N34" s="110">
        <v>-350000000</v>
      </c>
      <c r="O34" s="110">
        <v>-350000000</v>
      </c>
      <c r="P34" s="110">
        <v>-350000000</v>
      </c>
      <c r="Q34" s="110">
        <v>-350000000</v>
      </c>
      <c r="R34" s="110">
        <v>-350000000</v>
      </c>
      <c r="S34" s="110">
        <v>-350000000</v>
      </c>
      <c r="T34" s="110">
        <v>-350000000</v>
      </c>
      <c r="U34" s="110">
        <v>-350000000</v>
      </c>
    </row>
  </sheetData>
  <mergeCells count="5">
    <mergeCell ref="B5:F6"/>
    <mergeCell ref="D3:D4"/>
    <mergeCell ref="E3:E4"/>
    <mergeCell ref="F3:F4"/>
    <mergeCell ref="B4:C4"/>
  </mergeCells>
  <conditionalFormatting sqref="G4:AD4">
    <cfRule type="cellIs" dxfId="46" priority="3" operator="lessThanOrEqual">
      <formula>$E3</formula>
    </cfRule>
    <cfRule type="cellIs" dxfId="45" priority="4" operator="lessThanOrEqual">
      <formula>$D3</formula>
    </cfRule>
  </conditionalFormatting>
  <conditionalFormatting sqref="G4:AD4">
    <cfRule type="cellIs" dxfId="44" priority="1" operator="equal">
      <formula>"Not Available"</formula>
    </cfRule>
  </conditionalFormatting>
  <pageMargins left="0.7" right="0.7" top="0.75" bottom="0.75" header="0.3" footer="0.3"/>
  <pageSetup scale="27" orientation="landscape"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X25"/>
  <sheetViews>
    <sheetView zoomScale="70" zoomScaleNormal="70" workbookViewId="0">
      <selection activeCell="B19" sqref="B19"/>
    </sheetView>
  </sheetViews>
  <sheetFormatPr defaultColWidth="9.140625" defaultRowHeight="15" x14ac:dyDescent="0.25"/>
  <cols>
    <col min="1" max="1" width="9.140625" style="56"/>
    <col min="2" max="2" width="39.5703125" style="56" customWidth="1"/>
    <col min="3" max="3" width="23.7109375" style="56" customWidth="1"/>
    <col min="4" max="4" width="24" style="56" customWidth="1"/>
    <col min="5" max="5" width="21.42578125" style="56" customWidth="1"/>
    <col min="6" max="6" width="19" style="56" customWidth="1"/>
    <col min="7" max="21" width="21.140625" style="56" customWidth="1"/>
    <col min="22" max="22" width="1.28515625" style="56" customWidth="1"/>
    <col min="23" max="23" width="9.140625" style="56"/>
    <col min="24" max="24" width="17.5703125" style="56" bestFit="1" customWidth="1"/>
    <col min="25" max="16384" width="9.140625" style="56"/>
  </cols>
  <sheetData>
    <row r="1" spans="2:24" ht="15.75" thickBot="1" x14ac:dyDescent="0.3"/>
    <row r="2" spans="2:24" ht="31.5" customHeight="1" thickBot="1" x14ac:dyDescent="0.3">
      <c r="B2" s="113" t="s">
        <v>121</v>
      </c>
      <c r="C2" s="114" t="s">
        <v>122</v>
      </c>
      <c r="D2" s="115" t="s">
        <v>118</v>
      </c>
      <c r="E2" s="116" t="s">
        <v>119</v>
      </c>
      <c r="F2" s="117" t="s">
        <v>120</v>
      </c>
      <c r="G2" s="118">
        <v>42005</v>
      </c>
      <c r="H2" s="119">
        <v>42036</v>
      </c>
      <c r="I2" s="119">
        <v>42064</v>
      </c>
      <c r="J2" s="119">
        <v>42095</v>
      </c>
      <c r="K2" s="119">
        <v>42125</v>
      </c>
      <c r="L2" s="119">
        <v>42156</v>
      </c>
      <c r="M2" s="119">
        <v>42186</v>
      </c>
      <c r="N2" s="119">
        <v>42217</v>
      </c>
      <c r="O2" s="119">
        <v>42248</v>
      </c>
      <c r="P2" s="119">
        <v>42278</v>
      </c>
      <c r="Q2" s="119">
        <v>42309</v>
      </c>
      <c r="R2" s="119">
        <v>42339</v>
      </c>
      <c r="S2" s="119">
        <v>42370</v>
      </c>
      <c r="T2" s="119">
        <v>42401</v>
      </c>
      <c r="U2" s="259">
        <v>42430</v>
      </c>
    </row>
    <row r="3" spans="2:24" ht="120" customHeight="1" x14ac:dyDescent="0.25">
      <c r="B3" s="72" t="s">
        <v>139</v>
      </c>
      <c r="C3" s="73" t="s">
        <v>140</v>
      </c>
      <c r="D3" s="454">
        <v>37075644007.132256</v>
      </c>
      <c r="E3" s="454">
        <v>39075644007.132256</v>
      </c>
      <c r="F3" s="429" t="s">
        <v>125</v>
      </c>
      <c r="G3" s="120">
        <v>35656600822.700508</v>
      </c>
      <c r="H3" s="60">
        <v>36408400494.140221</v>
      </c>
      <c r="I3" s="60">
        <v>38530774607.423286</v>
      </c>
      <c r="J3" s="60">
        <v>38874741944.750298</v>
      </c>
      <c r="K3" s="60">
        <v>39102859493.820503</v>
      </c>
      <c r="L3" s="60">
        <v>40368742399.122223</v>
      </c>
      <c r="M3" s="60">
        <v>40330228360.280151</v>
      </c>
      <c r="N3" s="60">
        <v>40731331152.940079</v>
      </c>
      <c r="O3" s="60">
        <v>39889483620</v>
      </c>
      <c r="P3" s="60">
        <v>40168565015.432472</v>
      </c>
      <c r="Q3" s="60">
        <v>39540458123.882706</v>
      </c>
      <c r="R3" s="121">
        <v>40726498941.42424</v>
      </c>
      <c r="S3" s="122">
        <v>41347995871.816681</v>
      </c>
      <c r="T3" s="122">
        <v>41165644392.541534</v>
      </c>
      <c r="U3" s="260">
        <v>42001491828.511177</v>
      </c>
    </row>
    <row r="4" spans="2:24" ht="24" x14ac:dyDescent="0.25">
      <c r="B4" s="154" t="s">
        <v>141</v>
      </c>
      <c r="C4" s="155" t="s">
        <v>140</v>
      </c>
      <c r="D4" s="455"/>
      <c r="E4" s="455"/>
      <c r="F4" s="430"/>
      <c r="G4" s="123">
        <v>2632930391.4502401</v>
      </c>
      <c r="H4" s="124">
        <v>2634494909.9162502</v>
      </c>
      <c r="I4" s="124">
        <v>2721660129.9372087</v>
      </c>
      <c r="J4" s="124">
        <v>2835733913.9056211</v>
      </c>
      <c r="K4" s="124">
        <v>2969540247.7442446</v>
      </c>
      <c r="L4" s="124">
        <v>3223110587.2189722</v>
      </c>
      <c r="M4" s="124">
        <v>3342323875.9364982</v>
      </c>
      <c r="N4" s="124">
        <v>3419420325.1052494</v>
      </c>
      <c r="O4" s="124">
        <v>2870340609</v>
      </c>
      <c r="P4" s="124">
        <v>2915346882.703094</v>
      </c>
      <c r="Q4" s="124">
        <v>2958263969.7774668</v>
      </c>
      <c r="R4" s="125">
        <v>2997026918.7271967</v>
      </c>
      <c r="S4" s="124">
        <v>2995323135.6272922</v>
      </c>
      <c r="T4" s="124">
        <v>3037704274.648231</v>
      </c>
      <c r="U4" s="261">
        <v>3136401927.1445675</v>
      </c>
    </row>
    <row r="5" spans="2:24" ht="15.75" thickBot="1" x14ac:dyDescent="0.3">
      <c r="B5" s="74" t="s">
        <v>142</v>
      </c>
      <c r="C5" s="82" t="s">
        <v>140</v>
      </c>
      <c r="D5" s="455"/>
      <c r="E5" s="455"/>
      <c r="F5" s="430"/>
      <c r="G5" s="126">
        <v>0</v>
      </c>
      <c r="H5" s="66">
        <v>0</v>
      </c>
      <c r="I5" s="66">
        <v>0</v>
      </c>
      <c r="J5" s="66">
        <v>0</v>
      </c>
      <c r="K5" s="66">
        <v>0</v>
      </c>
      <c r="L5" s="66">
        <v>0</v>
      </c>
      <c r="M5" s="66">
        <v>0</v>
      </c>
      <c r="N5" s="66">
        <v>0</v>
      </c>
      <c r="O5" s="66">
        <v>0</v>
      </c>
      <c r="P5" s="66">
        <v>0</v>
      </c>
      <c r="Q5" s="66"/>
      <c r="R5" s="127">
        <v>0</v>
      </c>
      <c r="S5" s="66">
        <v>0</v>
      </c>
      <c r="T5" s="66">
        <v>0</v>
      </c>
      <c r="U5" s="262">
        <v>0</v>
      </c>
    </row>
    <row r="6" spans="2:24" ht="15.75" thickBot="1" x14ac:dyDescent="0.3">
      <c r="B6" s="427" t="s">
        <v>143</v>
      </c>
      <c r="C6" s="428"/>
      <c r="D6" s="456"/>
      <c r="E6" s="456"/>
      <c r="F6" s="431"/>
      <c r="G6" s="129">
        <v>33023670431.250267</v>
      </c>
      <c r="H6" s="130">
        <v>33773905584.223969</v>
      </c>
      <c r="I6" s="130">
        <v>35809114477.486076</v>
      </c>
      <c r="J6" s="130">
        <v>36039008030.844673</v>
      </c>
      <c r="K6" s="130">
        <v>36133319246.076256</v>
      </c>
      <c r="L6" s="130">
        <v>37145631811.903252</v>
      </c>
      <c r="M6" s="130">
        <v>36987904484.343651</v>
      </c>
      <c r="N6" s="130">
        <v>37311910827.834831</v>
      </c>
      <c r="O6" s="130">
        <v>37019143011</v>
      </c>
      <c r="P6" s="130">
        <v>37253218132.729378</v>
      </c>
      <c r="Q6" s="130">
        <v>36582194154.10524</v>
      </c>
      <c r="R6" s="130">
        <v>37729472022.697044</v>
      </c>
      <c r="S6" s="130">
        <v>38352672736.189392</v>
      </c>
      <c r="T6" s="130">
        <v>38127940117.893303</v>
      </c>
      <c r="U6" s="263">
        <v>38865089901.366608</v>
      </c>
      <c r="X6" s="128"/>
    </row>
    <row r="7" spans="2:24" x14ac:dyDescent="0.25">
      <c r="B7" s="150"/>
      <c r="C7" s="150"/>
      <c r="D7" s="151"/>
      <c r="E7" s="151"/>
      <c r="F7" s="152"/>
      <c r="G7" s="153"/>
      <c r="H7" s="153"/>
      <c r="I7" s="153"/>
      <c r="J7" s="153"/>
      <c r="K7" s="153"/>
      <c r="L7" s="153"/>
      <c r="M7" s="153"/>
      <c r="N7" s="153"/>
      <c r="O7" s="153"/>
      <c r="P7" s="153"/>
      <c r="Q7" s="153"/>
      <c r="R7" s="153"/>
      <c r="S7" s="153"/>
      <c r="T7" s="153"/>
      <c r="U7" s="153"/>
    </row>
    <row r="8" spans="2:24" x14ac:dyDescent="0.25">
      <c r="B8" s="452" t="s">
        <v>146</v>
      </c>
      <c r="C8" s="452"/>
      <c r="D8" s="452"/>
      <c r="E8" s="452"/>
      <c r="F8" s="452"/>
      <c r="Q8" s="64"/>
      <c r="R8" s="64"/>
    </row>
    <row r="9" spans="2:24" ht="21.75" thickBot="1" x14ac:dyDescent="0.3">
      <c r="B9" s="149"/>
      <c r="C9" s="139" t="s">
        <v>147</v>
      </c>
      <c r="D9" s="140" t="s">
        <v>148</v>
      </c>
      <c r="E9" s="140" t="s">
        <v>149</v>
      </c>
      <c r="F9" s="141"/>
      <c r="Q9" s="64"/>
    </row>
    <row r="10" spans="2:24" ht="19.5" customHeight="1" thickBot="1" x14ac:dyDescent="0.3">
      <c r="B10" s="453"/>
      <c r="C10" s="141"/>
      <c r="D10" s="142" t="s">
        <v>118</v>
      </c>
      <c r="E10" s="143" t="s">
        <v>119</v>
      </c>
      <c r="F10" s="141"/>
      <c r="O10" s="70"/>
    </row>
    <row r="11" spans="2:24" x14ac:dyDescent="0.25">
      <c r="B11" s="453"/>
      <c r="C11" s="144">
        <v>42005</v>
      </c>
      <c r="D11" s="264">
        <v>27885078258.536366</v>
      </c>
      <c r="E11" s="265">
        <v>29885078258.536366</v>
      </c>
      <c r="F11" s="145"/>
      <c r="O11" s="70"/>
    </row>
    <row r="12" spans="2:24" x14ac:dyDescent="0.25">
      <c r="B12" s="453"/>
      <c r="C12" s="144">
        <v>42036</v>
      </c>
      <c r="D12" s="146">
        <v>28620185554.590866</v>
      </c>
      <c r="E12" s="147">
        <v>30620185554.590866</v>
      </c>
      <c r="F12" s="141"/>
      <c r="M12" s="148"/>
    </row>
    <row r="13" spans="2:24" x14ac:dyDescent="0.25">
      <c r="B13" s="453"/>
      <c r="C13" s="144">
        <v>42064</v>
      </c>
      <c r="D13" s="146">
        <v>29821317866.545452</v>
      </c>
      <c r="E13" s="147">
        <v>31821317866.545452</v>
      </c>
      <c r="F13" s="141"/>
      <c r="M13" s="148"/>
    </row>
    <row r="14" spans="2:24" x14ac:dyDescent="0.25">
      <c r="B14" s="453"/>
      <c r="C14" s="144">
        <v>42095</v>
      </c>
      <c r="D14" s="146">
        <v>30897003884.803337</v>
      </c>
      <c r="E14" s="147">
        <v>32897003884.803337</v>
      </c>
      <c r="F14" s="141"/>
      <c r="M14" s="148"/>
    </row>
    <row r="15" spans="2:24" x14ac:dyDescent="0.25">
      <c r="B15" s="453"/>
      <c r="C15" s="144">
        <v>42125</v>
      </c>
      <c r="D15" s="146">
        <v>32422876488.47641</v>
      </c>
      <c r="E15" s="147">
        <v>34422876488.47641</v>
      </c>
      <c r="F15" s="141"/>
      <c r="M15" s="148"/>
    </row>
    <row r="16" spans="2:24" x14ac:dyDescent="0.25">
      <c r="B16" s="141"/>
      <c r="C16" s="144">
        <v>42156</v>
      </c>
      <c r="D16" s="146">
        <v>33286450542.894638</v>
      </c>
      <c r="E16" s="147">
        <v>35286450542.894638</v>
      </c>
      <c r="F16" s="141"/>
      <c r="M16" s="148"/>
    </row>
    <row r="17" spans="2:13" x14ac:dyDescent="0.25">
      <c r="B17" s="141"/>
      <c r="C17" s="144">
        <v>42186</v>
      </c>
      <c r="D17" s="146">
        <v>34493098347.822647</v>
      </c>
      <c r="E17" s="147">
        <v>36493098347.822647</v>
      </c>
      <c r="F17" s="141"/>
      <c r="M17" s="148"/>
    </row>
    <row r="18" spans="2:13" x14ac:dyDescent="0.25">
      <c r="B18" s="141"/>
      <c r="C18" s="144">
        <v>42217</v>
      </c>
      <c r="D18" s="146">
        <v>33863913931.940857</v>
      </c>
      <c r="E18" s="147">
        <v>35863913931.940857</v>
      </c>
      <c r="F18" s="141"/>
      <c r="M18" s="148"/>
    </row>
    <row r="19" spans="2:13" x14ac:dyDescent="0.25">
      <c r="B19" s="141"/>
      <c r="C19" s="144">
        <v>42248</v>
      </c>
      <c r="D19" s="146">
        <v>34181493782.149887</v>
      </c>
      <c r="E19" s="147">
        <v>36181493782.149887</v>
      </c>
      <c r="F19" s="141"/>
      <c r="M19" s="148"/>
    </row>
    <row r="20" spans="2:13" x14ac:dyDescent="0.25">
      <c r="B20" s="141"/>
      <c r="C20" s="144">
        <v>42278</v>
      </c>
      <c r="D20" s="146">
        <v>35749048770.110901</v>
      </c>
      <c r="E20" s="147">
        <v>37749048770.110901</v>
      </c>
      <c r="F20" s="141"/>
      <c r="M20" s="148"/>
    </row>
    <row r="21" spans="2:13" x14ac:dyDescent="0.25">
      <c r="B21" s="141"/>
      <c r="C21" s="144">
        <v>42309</v>
      </c>
      <c r="D21" s="146">
        <v>36225238064.181816</v>
      </c>
      <c r="E21" s="147">
        <v>38225238064.181816</v>
      </c>
      <c r="F21" s="141"/>
      <c r="M21" s="148"/>
    </row>
    <row r="22" spans="2:13" x14ac:dyDescent="0.25">
      <c r="B22" s="141"/>
      <c r="C22" s="144">
        <v>42339</v>
      </c>
      <c r="D22" s="146">
        <v>36719625348.36364</v>
      </c>
      <c r="E22" s="147">
        <v>38719625348.36364</v>
      </c>
      <c r="F22" s="141"/>
      <c r="M22" s="148"/>
    </row>
    <row r="23" spans="2:13" x14ac:dyDescent="0.25">
      <c r="B23" s="141"/>
      <c r="C23" s="144">
        <v>42370</v>
      </c>
      <c r="D23" s="146">
        <v>36106692691.594643</v>
      </c>
      <c r="E23" s="147">
        <v>38106692691.594643</v>
      </c>
      <c r="F23" s="141"/>
      <c r="M23" s="148"/>
    </row>
    <row r="24" spans="2:13" x14ac:dyDescent="0.25">
      <c r="B24" s="141"/>
      <c r="C24" s="144">
        <v>42401</v>
      </c>
      <c r="D24" s="146">
        <v>36527185875.038185</v>
      </c>
      <c r="E24" s="147">
        <v>38527185875.038185</v>
      </c>
      <c r="F24" s="141"/>
      <c r="M24" s="148"/>
    </row>
    <row r="25" spans="2:13" x14ac:dyDescent="0.25">
      <c r="B25" s="141"/>
      <c r="C25" s="144">
        <v>42430</v>
      </c>
      <c r="D25" s="146">
        <v>37075644007.132256</v>
      </c>
      <c r="E25" s="147">
        <v>39075644007.132256</v>
      </c>
      <c r="F25" s="141"/>
      <c r="M25" s="148"/>
    </row>
  </sheetData>
  <mergeCells count="6">
    <mergeCell ref="B8:F8"/>
    <mergeCell ref="B10:B15"/>
    <mergeCell ref="D3:D6"/>
    <mergeCell ref="E3:E6"/>
    <mergeCell ref="F3:F6"/>
    <mergeCell ref="B6:C6"/>
  </mergeCells>
  <conditionalFormatting sqref="G6">
    <cfRule type="cellIs" dxfId="43" priority="2" operator="equal">
      <formula>"Not Available"</formula>
    </cfRule>
  </conditionalFormatting>
  <conditionalFormatting sqref="H6:U6">
    <cfRule type="cellIs" dxfId="42" priority="1" operator="equal">
      <formula>"Not Available"</formula>
    </cfRule>
  </conditionalFormatting>
  <conditionalFormatting sqref="G6:U6">
    <cfRule type="expression" dxfId="41" priority="29">
      <formula>G$6&gt;(VLOOKUP(G$2,$C$11:$E$25,3,0))-0.01</formula>
    </cfRule>
    <cfRule type="expression" dxfId="40" priority="30">
      <formula>G$6&gt;(VLOOKUP(G$2,$C$11:$E$25,2,0))-0.01</formula>
    </cfRule>
  </conditionalFormatting>
  <pageMargins left="0.7" right="0.7" top="0.75" bottom="0.75" header="0.3" footer="0.3"/>
  <pageSetup scale="25" orientation="landscape"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U33"/>
  <sheetViews>
    <sheetView zoomScale="85" zoomScaleNormal="85" workbookViewId="0"/>
  </sheetViews>
  <sheetFormatPr defaultColWidth="9.140625" defaultRowHeight="15" x14ac:dyDescent="0.25"/>
  <cols>
    <col min="1" max="1" width="2.85546875" style="56" customWidth="1"/>
    <col min="2" max="2" width="39.5703125" style="56" customWidth="1"/>
    <col min="3" max="3" width="23.7109375" style="56" customWidth="1"/>
    <col min="4" max="4" width="19.28515625" style="56" customWidth="1"/>
    <col min="5" max="5" width="17.140625" style="56" customWidth="1"/>
    <col min="6" max="6" width="19" style="56" customWidth="1"/>
    <col min="7" max="21" width="21.140625" style="56" customWidth="1"/>
    <col min="22" max="22" width="9.140625" style="56"/>
    <col min="23" max="23" width="17.5703125" style="56" bestFit="1" customWidth="1"/>
    <col min="24" max="16384" width="9.140625" style="56"/>
  </cols>
  <sheetData>
    <row r="1" spans="2:21" ht="15.75" thickBot="1" x14ac:dyDescent="0.3"/>
    <row r="2" spans="2:21" ht="15.75" thickBot="1" x14ac:dyDescent="0.3">
      <c r="B2" s="113" t="s">
        <v>121</v>
      </c>
      <c r="C2" s="114" t="s">
        <v>122</v>
      </c>
      <c r="D2" s="115" t="s">
        <v>118</v>
      </c>
      <c r="E2" s="116" t="s">
        <v>119</v>
      </c>
      <c r="F2" s="117" t="s">
        <v>120</v>
      </c>
      <c r="G2" s="118">
        <v>42005</v>
      </c>
      <c r="H2" s="119">
        <v>42036</v>
      </c>
      <c r="I2" s="119">
        <v>42064</v>
      </c>
      <c r="J2" s="119">
        <v>42095</v>
      </c>
      <c r="K2" s="119">
        <v>42125</v>
      </c>
      <c r="L2" s="119">
        <v>42156</v>
      </c>
      <c r="M2" s="119">
        <v>42186</v>
      </c>
      <c r="N2" s="119">
        <v>42217</v>
      </c>
      <c r="O2" s="119">
        <v>42248</v>
      </c>
      <c r="P2" s="119">
        <v>42278</v>
      </c>
      <c r="Q2" s="119">
        <v>42309</v>
      </c>
      <c r="R2" s="119">
        <v>42339</v>
      </c>
      <c r="S2" s="119">
        <v>42370</v>
      </c>
      <c r="T2" s="119">
        <v>42401</v>
      </c>
      <c r="U2" s="119">
        <v>42430</v>
      </c>
    </row>
    <row r="3" spans="2:21" ht="15" customHeight="1" x14ac:dyDescent="0.25">
      <c r="B3" s="257" t="s">
        <v>144</v>
      </c>
      <c r="C3" s="258" t="s">
        <v>114</v>
      </c>
      <c r="D3" s="457">
        <v>0.23</v>
      </c>
      <c r="E3" s="460">
        <v>0.25</v>
      </c>
      <c r="F3" s="429" t="s">
        <v>125</v>
      </c>
      <c r="G3" s="131">
        <v>20537.428952690007</v>
      </c>
      <c r="H3" s="132">
        <v>20991.743418199992</v>
      </c>
      <c r="I3" s="132">
        <v>22003.50771793001</v>
      </c>
      <c r="J3" s="132">
        <v>22647.385151260009</v>
      </c>
      <c r="K3" s="132">
        <v>23107.502992285004</v>
      </c>
      <c r="L3" s="132">
        <v>23631.388133330005</v>
      </c>
      <c r="M3" s="132">
        <v>23560.18615894</v>
      </c>
      <c r="N3" s="132">
        <v>23878.115304159983</v>
      </c>
      <c r="O3" s="133">
        <v>23385341842.684998</v>
      </c>
      <c r="P3" s="133">
        <v>23410008734.690002</v>
      </c>
      <c r="Q3" s="133">
        <v>23448601371.999992</v>
      </c>
      <c r="R3" s="133">
        <v>23717756545.34</v>
      </c>
      <c r="S3" s="48">
        <v>23795216260.420002</v>
      </c>
      <c r="T3" s="48">
        <v>23594371482</v>
      </c>
      <c r="U3" s="50">
        <v>23889527971.979992</v>
      </c>
    </row>
    <row r="4" spans="2:21" ht="15.75" thickBot="1" x14ac:dyDescent="0.3">
      <c r="B4" s="81" t="s">
        <v>145</v>
      </c>
      <c r="C4" s="75" t="s">
        <v>116</v>
      </c>
      <c r="D4" s="458"/>
      <c r="E4" s="461"/>
      <c r="F4" s="430"/>
      <c r="G4" s="134">
        <v>112231</v>
      </c>
      <c r="H4" s="135">
        <v>112584</v>
      </c>
      <c r="I4" s="135">
        <v>114552</v>
      </c>
      <c r="J4" s="135">
        <v>116238</v>
      </c>
      <c r="K4" s="135">
        <v>117352</v>
      </c>
      <c r="L4" s="135">
        <v>117352</v>
      </c>
      <c r="M4" s="135">
        <v>118926</v>
      </c>
      <c r="N4" s="135">
        <v>119388</v>
      </c>
      <c r="O4" s="136">
        <v>119316400102.14</v>
      </c>
      <c r="P4" s="136">
        <v>120204242855</v>
      </c>
      <c r="Q4" s="136">
        <v>119865212950</v>
      </c>
      <c r="R4" s="53">
        <v>120816929984</v>
      </c>
      <c r="S4" s="137">
        <v>121201332165</v>
      </c>
      <c r="T4" s="52">
        <v>120259894892</v>
      </c>
      <c r="U4" s="54">
        <v>119164738842.52</v>
      </c>
    </row>
    <row r="5" spans="2:21" ht="30.75" customHeight="1" thickBot="1" x14ac:dyDescent="0.3">
      <c r="B5" s="427" t="s">
        <v>18</v>
      </c>
      <c r="C5" s="428"/>
      <c r="D5" s="459"/>
      <c r="E5" s="462"/>
      <c r="F5" s="431"/>
      <c r="G5" s="138">
        <v>0.18299247937459354</v>
      </c>
      <c r="H5" s="138">
        <v>0.18645405580011362</v>
      </c>
      <c r="I5" s="138">
        <v>0.19208313881844061</v>
      </c>
      <c r="J5" s="138">
        <v>0.19483632849205948</v>
      </c>
      <c r="K5" s="138">
        <v>0.19690761974474236</v>
      </c>
      <c r="L5" s="138">
        <v>0.20137183970729092</v>
      </c>
      <c r="M5" s="138">
        <v>0.19810795081765131</v>
      </c>
      <c r="N5" s="138">
        <v>0.2000043162140247</v>
      </c>
      <c r="O5" s="138">
        <v>0.19599436307721432</v>
      </c>
      <c r="P5" s="138">
        <v>0.19475193369778995</v>
      </c>
      <c r="Q5" s="138">
        <v>0.1956247421158066</v>
      </c>
      <c r="R5" s="138">
        <v>0.19631153140938926</v>
      </c>
      <c r="S5" s="55">
        <v>0.19632800923364341</v>
      </c>
      <c r="T5" s="55">
        <v>0.19619484536543993</v>
      </c>
      <c r="U5" s="55">
        <v>0.20047480659149317</v>
      </c>
    </row>
    <row r="31" spans="6:21" x14ac:dyDescent="0.25">
      <c r="F31" s="76" t="s">
        <v>123</v>
      </c>
    </row>
    <row r="32" spans="6:21" x14ac:dyDescent="0.25">
      <c r="F32" s="56" t="s">
        <v>46</v>
      </c>
      <c r="G32" s="156">
        <v>0.23</v>
      </c>
      <c r="H32" s="156">
        <v>0.23</v>
      </c>
      <c r="I32" s="156">
        <v>0.23</v>
      </c>
      <c r="J32" s="156">
        <v>0.23</v>
      </c>
      <c r="K32" s="156">
        <v>0.23</v>
      </c>
      <c r="L32" s="156">
        <v>0.23</v>
      </c>
      <c r="M32" s="156">
        <v>0.23</v>
      </c>
      <c r="N32" s="156">
        <v>0.23</v>
      </c>
      <c r="O32" s="156">
        <v>0.23</v>
      </c>
      <c r="P32" s="156">
        <v>0.23</v>
      </c>
      <c r="Q32" s="156">
        <v>0.23</v>
      </c>
      <c r="R32" s="156">
        <v>0.23</v>
      </c>
      <c r="S32" s="156">
        <v>0.23</v>
      </c>
      <c r="T32" s="156">
        <v>0.23</v>
      </c>
      <c r="U32" s="156">
        <v>0.23</v>
      </c>
    </row>
    <row r="33" spans="6:21" x14ac:dyDescent="0.25">
      <c r="F33" s="56" t="s">
        <v>47</v>
      </c>
      <c r="G33" s="156">
        <v>0.25</v>
      </c>
      <c r="H33" s="156">
        <v>0.25</v>
      </c>
      <c r="I33" s="156">
        <v>0.25</v>
      </c>
      <c r="J33" s="156">
        <v>0.25</v>
      </c>
      <c r="K33" s="156">
        <v>0.25</v>
      </c>
      <c r="L33" s="156">
        <v>0.25</v>
      </c>
      <c r="M33" s="156">
        <v>0.25</v>
      </c>
      <c r="N33" s="156">
        <v>0.25</v>
      </c>
      <c r="O33" s="156">
        <v>0.25</v>
      </c>
      <c r="P33" s="156">
        <v>0.25</v>
      </c>
      <c r="Q33" s="156">
        <v>0.25</v>
      </c>
      <c r="R33" s="156">
        <v>0.25</v>
      </c>
      <c r="S33" s="156">
        <v>0.25</v>
      </c>
      <c r="T33" s="156">
        <v>0.25</v>
      </c>
      <c r="U33" s="156">
        <v>0.25</v>
      </c>
    </row>
  </sheetData>
  <mergeCells count="4">
    <mergeCell ref="D3:D5"/>
    <mergeCell ref="E3:E5"/>
    <mergeCell ref="F3:F5"/>
    <mergeCell ref="B5:C5"/>
  </mergeCells>
  <conditionalFormatting sqref="G5:U5">
    <cfRule type="cellIs" dxfId="39" priority="6" operator="greaterThanOrEqual">
      <formula>$E3</formula>
    </cfRule>
    <cfRule type="cellIs" dxfId="38" priority="7" operator="greaterThanOrEqual">
      <formula>$D3</formula>
    </cfRule>
  </conditionalFormatting>
  <conditionalFormatting sqref="G5:U5">
    <cfRule type="cellIs" dxfId="37" priority="5" operator="equal">
      <formula>"Not Available"</formula>
    </cfRule>
  </conditionalFormatting>
  <pageMargins left="0.7" right="0.7" top="0.75" bottom="0.75" header="0.3" footer="0.3"/>
  <pageSetup scale="25" orientation="landscape"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353"/>
  <sheetViews>
    <sheetView zoomScale="85" zoomScaleNormal="85" workbookViewId="0"/>
  </sheetViews>
  <sheetFormatPr defaultColWidth="8.85546875" defaultRowHeight="12.75" x14ac:dyDescent="0.2"/>
  <cols>
    <col min="1" max="1" width="3.5703125" style="336" customWidth="1"/>
    <col min="2" max="2" width="39" style="336" customWidth="1"/>
    <col min="3" max="3" width="23.85546875" style="336" bestFit="1" customWidth="1"/>
    <col min="4" max="4" width="22.7109375" style="336" bestFit="1" customWidth="1"/>
    <col min="5" max="5" width="27" style="336" bestFit="1" customWidth="1"/>
    <col min="6" max="6" width="23.85546875" style="336" bestFit="1" customWidth="1"/>
    <col min="7" max="7" width="22.7109375" style="336" bestFit="1" customWidth="1"/>
    <col min="8" max="8" width="4.7109375" style="336" customWidth="1"/>
    <col min="9" max="9" width="33" style="336" bestFit="1" customWidth="1"/>
    <col min="10" max="10" width="8.85546875" style="336" customWidth="1"/>
    <col min="11" max="12" width="10" style="336" bestFit="1" customWidth="1"/>
    <col min="13" max="14" width="8.85546875" style="336" customWidth="1"/>
    <col min="15" max="18" width="10" style="336" bestFit="1" customWidth="1"/>
    <col min="19" max="20" width="9.140625" style="336" bestFit="1" customWidth="1"/>
    <col min="21" max="16384" width="8.85546875" style="336"/>
  </cols>
  <sheetData>
    <row r="1" spans="1:22" ht="13.5" thickBot="1" x14ac:dyDescent="0.25">
      <c r="A1" s="336" t="s">
        <v>313</v>
      </c>
      <c r="B1" s="336" t="s">
        <v>314</v>
      </c>
      <c r="C1" s="336" t="s">
        <v>315</v>
      </c>
      <c r="D1" s="336" t="s">
        <v>316</v>
      </c>
      <c r="E1" s="336" t="s">
        <v>317</v>
      </c>
    </row>
    <row r="2" spans="1:22" ht="13.5" thickBot="1" x14ac:dyDescent="0.25">
      <c r="B2" s="367" t="s">
        <v>277</v>
      </c>
      <c r="C2" s="350"/>
      <c r="D2" s="350"/>
      <c r="E2" s="350"/>
      <c r="F2" s="350"/>
      <c r="G2" s="368"/>
      <c r="J2" s="409" t="s">
        <v>320</v>
      </c>
      <c r="K2" s="410">
        <v>42005</v>
      </c>
      <c r="L2" s="410">
        <v>42036</v>
      </c>
      <c r="M2" s="410">
        <v>42064</v>
      </c>
      <c r="N2" s="410">
        <v>42095</v>
      </c>
      <c r="O2" s="410">
        <v>42125</v>
      </c>
      <c r="P2" s="410">
        <v>42156</v>
      </c>
      <c r="Q2" s="410">
        <v>42186</v>
      </c>
      <c r="R2" s="410">
        <v>42217</v>
      </c>
      <c r="S2" s="410">
        <v>42248</v>
      </c>
      <c r="T2" s="410">
        <v>42278</v>
      </c>
      <c r="U2" s="410">
        <v>42309</v>
      </c>
      <c r="V2" s="410">
        <v>42339</v>
      </c>
    </row>
    <row r="3" spans="1:22" x14ac:dyDescent="0.2">
      <c r="B3" s="369" t="s">
        <v>278</v>
      </c>
      <c r="C3" s="370" t="s">
        <v>279</v>
      </c>
      <c r="D3" s="370"/>
      <c r="E3" s="370"/>
      <c r="F3" s="370"/>
      <c r="G3" s="371"/>
      <c r="J3" s="411" t="s">
        <v>269</v>
      </c>
      <c r="K3" s="412">
        <v>20537.428952690007</v>
      </c>
      <c r="L3" s="412">
        <v>20991.743418199992</v>
      </c>
      <c r="M3" s="412">
        <v>22003.50771793001</v>
      </c>
      <c r="N3" s="412">
        <v>22647.385151260009</v>
      </c>
      <c r="O3" s="412">
        <v>23107.502992285004</v>
      </c>
      <c r="P3" s="412">
        <v>23631.388133330005</v>
      </c>
      <c r="Q3" s="412">
        <v>23560.18615894</v>
      </c>
      <c r="R3" s="412">
        <v>23878.115304159983</v>
      </c>
      <c r="S3" s="412">
        <v>23385.341842684997</v>
      </c>
      <c r="T3" s="412">
        <v>23410.008734690004</v>
      </c>
      <c r="U3" s="412"/>
      <c r="V3" s="412"/>
    </row>
    <row r="4" spans="1:22" x14ac:dyDescent="0.2">
      <c r="B4" s="369" t="s">
        <v>280</v>
      </c>
      <c r="C4" s="370" t="s">
        <v>318</v>
      </c>
      <c r="D4" s="370"/>
      <c r="E4" s="370"/>
      <c r="F4" s="370"/>
      <c r="G4" s="371"/>
      <c r="J4" s="413" t="s">
        <v>271</v>
      </c>
      <c r="K4" s="414">
        <v>112231</v>
      </c>
      <c r="L4" s="414">
        <v>112584</v>
      </c>
      <c r="M4" s="414">
        <v>114552</v>
      </c>
      <c r="N4" s="414">
        <v>116238</v>
      </c>
      <c r="O4" s="414">
        <v>117352</v>
      </c>
      <c r="P4" s="414">
        <v>117352</v>
      </c>
      <c r="Q4" s="414">
        <v>118926</v>
      </c>
      <c r="R4" s="414">
        <v>119388</v>
      </c>
      <c r="S4" s="414">
        <v>119316.40010214</v>
      </c>
      <c r="T4" s="414">
        <v>120204.242855</v>
      </c>
      <c r="U4" s="414"/>
      <c r="V4" s="414"/>
    </row>
    <row r="5" spans="1:22" ht="13.5" thickBot="1" x14ac:dyDescent="0.25">
      <c r="B5" s="372" t="s">
        <v>281</v>
      </c>
      <c r="C5" s="373" t="s">
        <v>319</v>
      </c>
      <c r="D5" s="373"/>
      <c r="E5" s="373"/>
      <c r="F5" s="373"/>
      <c r="G5" s="374"/>
      <c r="J5" s="415" t="s">
        <v>272</v>
      </c>
      <c r="K5" s="416">
        <f t="shared" ref="K5:V5" si="0">K3/K4</f>
        <v>0.18299247937459354</v>
      </c>
      <c r="L5" s="416">
        <f t="shared" si="0"/>
        <v>0.18645405580011362</v>
      </c>
      <c r="M5" s="416">
        <f t="shared" si="0"/>
        <v>0.19208313881844061</v>
      </c>
      <c r="N5" s="416">
        <f t="shared" si="0"/>
        <v>0.19483632849205948</v>
      </c>
      <c r="O5" s="416">
        <f t="shared" si="0"/>
        <v>0.19690761974474236</v>
      </c>
      <c r="P5" s="416">
        <f t="shared" si="0"/>
        <v>0.20137183970729092</v>
      </c>
      <c r="Q5" s="416">
        <f t="shared" si="0"/>
        <v>0.19810795081765131</v>
      </c>
      <c r="R5" s="416">
        <f t="shared" si="0"/>
        <v>0.2000043162140247</v>
      </c>
      <c r="S5" s="416">
        <f t="shared" si="0"/>
        <v>0.1959943630772143</v>
      </c>
      <c r="T5" s="416">
        <f t="shared" si="0"/>
        <v>0.19475193369778995</v>
      </c>
      <c r="U5" s="416" t="e">
        <f t="shared" si="0"/>
        <v>#DIV/0!</v>
      </c>
      <c r="V5" s="416" t="e">
        <f t="shared" si="0"/>
        <v>#DIV/0!</v>
      </c>
    </row>
    <row r="6" spans="1:22" ht="13.5" thickBot="1" x14ac:dyDescent="0.25">
      <c r="B6" s="375"/>
      <c r="C6" s="370"/>
      <c r="D6" s="370"/>
      <c r="E6" s="370"/>
      <c r="F6" s="370"/>
      <c r="G6" s="370"/>
      <c r="J6" s="328" t="s">
        <v>273</v>
      </c>
      <c r="K6" s="417">
        <v>21372.288441100005</v>
      </c>
      <c r="L6" s="417">
        <v>21865.219257516997</v>
      </c>
      <c r="M6" s="417">
        <v>22871.944628140009</v>
      </c>
      <c r="N6" s="417">
        <v>23535.281142885011</v>
      </c>
      <c r="O6" s="417">
        <v>24049.595081040003</v>
      </c>
      <c r="P6" s="417">
        <v>24482.060555019005</v>
      </c>
      <c r="Q6" s="417">
        <v>24454.810783690995</v>
      </c>
      <c r="R6" s="417">
        <v>24807.55090211099</v>
      </c>
      <c r="S6" s="412">
        <v>24353.571995304996</v>
      </c>
      <c r="T6" s="412">
        <v>24391.935185521001</v>
      </c>
      <c r="U6" s="417"/>
      <c r="V6" s="417"/>
    </row>
    <row r="7" spans="1:22" x14ac:dyDescent="0.2">
      <c r="B7" s="367" t="s">
        <v>282</v>
      </c>
      <c r="C7" s="350"/>
      <c r="D7" s="350"/>
      <c r="E7" s="350"/>
      <c r="F7" s="350"/>
      <c r="G7" s="368"/>
      <c r="J7" s="328" t="s">
        <v>274</v>
      </c>
      <c r="K7" s="417">
        <v>7564</v>
      </c>
      <c r="L7" s="417">
        <v>7868</v>
      </c>
      <c r="M7" s="417">
        <v>7721</v>
      </c>
      <c r="N7" s="417">
        <v>8122</v>
      </c>
      <c r="O7" s="417">
        <v>8394</v>
      </c>
      <c r="P7" s="417">
        <v>7965</v>
      </c>
      <c r="Q7" s="417">
        <v>8333</v>
      </c>
      <c r="R7" s="417">
        <v>8663</v>
      </c>
      <c r="S7" s="414">
        <v>8896.241387</v>
      </c>
      <c r="T7" s="414">
        <v>9032.7670089999992</v>
      </c>
      <c r="U7" s="417"/>
      <c r="V7" s="417"/>
    </row>
    <row r="8" spans="1:22" x14ac:dyDescent="0.2">
      <c r="B8" s="369" t="s">
        <v>283</v>
      </c>
      <c r="C8" s="370" t="s">
        <v>284</v>
      </c>
      <c r="D8" s="370"/>
      <c r="E8" s="370"/>
      <c r="F8" s="370"/>
      <c r="G8" s="371"/>
      <c r="J8" s="328" t="s">
        <v>275</v>
      </c>
      <c r="K8" s="417">
        <v>119795</v>
      </c>
      <c r="L8" s="417">
        <v>120452</v>
      </c>
      <c r="M8" s="417">
        <v>122273</v>
      </c>
      <c r="N8" s="417">
        <v>124360</v>
      </c>
      <c r="O8" s="417">
        <v>125746</v>
      </c>
      <c r="P8" s="417">
        <v>125317</v>
      </c>
      <c r="Q8" s="417">
        <v>127259</v>
      </c>
      <c r="R8" s="417">
        <v>128051</v>
      </c>
      <c r="S8" s="414">
        <v>128212.64148914001</v>
      </c>
      <c r="T8" s="414">
        <v>129237.00986400001</v>
      </c>
      <c r="U8" s="417"/>
      <c r="V8" s="417"/>
    </row>
    <row r="9" spans="1:22" x14ac:dyDescent="0.2">
      <c r="B9" s="369" t="s">
        <v>281</v>
      </c>
      <c r="C9" s="370" t="s">
        <v>285</v>
      </c>
      <c r="D9" s="370"/>
      <c r="E9" s="370"/>
      <c r="F9" s="370"/>
      <c r="G9" s="371"/>
      <c r="J9" s="328" t="s">
        <v>276</v>
      </c>
      <c r="K9" s="418">
        <f t="shared" ref="K9:V9" si="1">K6/K8</f>
        <v>0.17840718261279689</v>
      </c>
      <c r="L9" s="418">
        <f t="shared" si="1"/>
        <v>0.18152641099788294</v>
      </c>
      <c r="M9" s="418">
        <f t="shared" si="1"/>
        <v>0.18705637898914731</v>
      </c>
      <c r="N9" s="418">
        <f t="shared" si="1"/>
        <v>0.18925121536575273</v>
      </c>
      <c r="O9" s="418">
        <f t="shared" si="1"/>
        <v>0.19125534872711658</v>
      </c>
      <c r="P9" s="418">
        <f t="shared" si="1"/>
        <v>0.19536104882034364</v>
      </c>
      <c r="Q9" s="418">
        <f t="shared" si="1"/>
        <v>0.19216566831179716</v>
      </c>
      <c r="R9" s="418">
        <f t="shared" si="1"/>
        <v>0.19373180140811858</v>
      </c>
      <c r="S9" s="418">
        <f t="shared" si="1"/>
        <v>0.18994672999828816</v>
      </c>
      <c r="T9" s="418">
        <f t="shared" si="1"/>
        <v>0.18873800323289255</v>
      </c>
      <c r="U9" s="418" t="e">
        <f t="shared" si="1"/>
        <v>#DIV/0!</v>
      </c>
      <c r="V9" s="418" t="e">
        <f t="shared" si="1"/>
        <v>#DIV/0!</v>
      </c>
    </row>
    <row r="10" spans="1:22" x14ac:dyDescent="0.2">
      <c r="B10" s="369" t="s">
        <v>286</v>
      </c>
      <c r="C10" s="370" t="s">
        <v>287</v>
      </c>
      <c r="D10" s="370"/>
      <c r="E10" s="370"/>
      <c r="F10" s="370"/>
      <c r="G10" s="371"/>
      <c r="J10" s="419"/>
      <c r="K10" s="420"/>
      <c r="L10" s="418"/>
      <c r="M10" s="418"/>
      <c r="N10" s="418"/>
      <c r="O10" s="418"/>
      <c r="P10" s="418"/>
      <c r="Q10" s="418"/>
      <c r="R10" s="418"/>
      <c r="S10" s="418"/>
      <c r="T10" s="418"/>
      <c r="U10" s="418"/>
      <c r="V10" s="418"/>
    </row>
    <row r="11" spans="1:22" ht="13.5" thickBot="1" x14ac:dyDescent="0.25">
      <c r="B11" s="372" t="s">
        <v>288</v>
      </c>
      <c r="C11" s="373" t="s">
        <v>289</v>
      </c>
      <c r="D11" s="373"/>
      <c r="E11" s="373"/>
      <c r="F11" s="373"/>
      <c r="G11" s="374"/>
      <c r="J11" s="413" t="s">
        <v>321</v>
      </c>
      <c r="K11" s="414">
        <v>18395.912541770005</v>
      </c>
      <c r="L11" s="414">
        <v>18881.435872499991</v>
      </c>
      <c r="M11" s="414">
        <v>19893.153508600008</v>
      </c>
      <c r="N11" s="414">
        <v>20494.281977620012</v>
      </c>
      <c r="O11" s="414">
        <v>20905.350740320002</v>
      </c>
      <c r="P11" s="414">
        <v>21372.658241530007</v>
      </c>
      <c r="Q11" s="414">
        <v>21255.581035449995</v>
      </c>
      <c r="R11" s="414">
        <v>21581.350756569984</v>
      </c>
      <c r="S11" s="414">
        <v>21126.109982459999</v>
      </c>
      <c r="T11" s="414">
        <v>21155.422569190003</v>
      </c>
      <c r="U11" s="328"/>
      <c r="V11" s="328"/>
    </row>
    <row r="12" spans="1:22" ht="13.5" thickBot="1" x14ac:dyDescent="0.25">
      <c r="J12" s="415" t="s">
        <v>322</v>
      </c>
      <c r="K12" s="416">
        <v>0.16709963515166068</v>
      </c>
      <c r="L12" s="416">
        <v>0.17091341343832364</v>
      </c>
      <c r="M12" s="416">
        <v>0.17691980021027642</v>
      </c>
      <c r="N12" s="416">
        <v>0.17964062332293473</v>
      </c>
      <c r="O12" s="416">
        <v>0.18154909580135981</v>
      </c>
      <c r="P12" s="416">
        <v>0.18569859229334104</v>
      </c>
      <c r="Q12" s="416">
        <v>0.1822614200246658</v>
      </c>
      <c r="R12" s="416">
        <v>0.18431226447637411</v>
      </c>
      <c r="S12" s="416">
        <v>0.18047685844236333</v>
      </c>
      <c r="T12" s="416">
        <v>0.17935976384298608</v>
      </c>
      <c r="U12" s="416"/>
      <c r="V12" s="416"/>
    </row>
    <row r="13" spans="1:22" x14ac:dyDescent="0.2">
      <c r="B13" s="333" t="s">
        <v>290</v>
      </c>
      <c r="C13" s="334" t="s">
        <v>251</v>
      </c>
      <c r="D13" s="334" t="s">
        <v>252</v>
      </c>
      <c r="E13" s="334" t="s">
        <v>253</v>
      </c>
      <c r="F13" s="335" t="s">
        <v>254</v>
      </c>
      <c r="H13" s="345">
        <v>38353</v>
      </c>
    </row>
    <row r="14" spans="1:22" x14ac:dyDescent="0.2">
      <c r="B14" s="337" t="s">
        <v>255</v>
      </c>
      <c r="C14" s="338">
        <v>46678.96</v>
      </c>
      <c r="D14" s="338">
        <v>18236.45</v>
      </c>
      <c r="E14" s="338">
        <v>864882298.85000002</v>
      </c>
      <c r="F14" s="339">
        <v>864947214.25999999</v>
      </c>
    </row>
    <row r="15" spans="1:22" x14ac:dyDescent="0.2">
      <c r="B15" s="337" t="s">
        <v>256</v>
      </c>
      <c r="C15" s="338">
        <v>4395795949.1800003</v>
      </c>
      <c r="D15" s="338">
        <v>1617245634.99</v>
      </c>
      <c r="E15" s="338">
        <v>513926059.98000002</v>
      </c>
      <c r="F15" s="339">
        <v>6526967644.1499996</v>
      </c>
    </row>
    <row r="16" spans="1:22" x14ac:dyDescent="0.2">
      <c r="B16" s="337" t="s">
        <v>257</v>
      </c>
      <c r="C16" s="338">
        <v>12356755562.629999</v>
      </c>
      <c r="D16" s="338">
        <v>3705856881.3400002</v>
      </c>
      <c r="E16" s="338">
        <v>1572344803.6900001</v>
      </c>
      <c r="F16" s="339">
        <v>17634957247.66</v>
      </c>
    </row>
    <row r="17" spans="2:7" x14ac:dyDescent="0.2">
      <c r="B17" s="337" t="s">
        <v>258</v>
      </c>
      <c r="C17" s="338">
        <v>310903171.45999998</v>
      </c>
      <c r="D17" s="338">
        <v>123591338.7</v>
      </c>
      <c r="E17" s="338">
        <v>5537985.96</v>
      </c>
      <c r="F17" s="339">
        <v>440032496.12</v>
      </c>
    </row>
    <row r="18" spans="2:7" x14ac:dyDescent="0.2">
      <c r="B18" s="340" t="s">
        <v>259</v>
      </c>
      <c r="C18" s="341">
        <v>83479383.870000005</v>
      </c>
      <c r="D18" s="341">
        <v>135274691.03</v>
      </c>
      <c r="E18" s="341">
        <v>135740700.34999999</v>
      </c>
      <c r="F18" s="342">
        <v>354494775.25</v>
      </c>
    </row>
    <row r="19" spans="2:7" x14ac:dyDescent="0.2">
      <c r="B19" s="337" t="s">
        <v>260</v>
      </c>
      <c r="C19" s="338"/>
      <c r="D19" s="338"/>
      <c r="E19" s="338">
        <v>313852168.25000006</v>
      </c>
      <c r="F19" s="339">
        <v>313852168.25000006</v>
      </c>
    </row>
    <row r="20" spans="2:7" x14ac:dyDescent="0.2">
      <c r="B20" s="337" t="s">
        <v>261</v>
      </c>
      <c r="C20" s="338">
        <v>223154480.97999999</v>
      </c>
      <c r="D20" s="338">
        <v>4841021801.4700003</v>
      </c>
      <c r="E20" s="338">
        <v>400398562.26000071</v>
      </c>
      <c r="F20" s="339">
        <v>5464574844.710001</v>
      </c>
    </row>
    <row r="21" spans="2:7" x14ac:dyDescent="0.2">
      <c r="B21" s="337" t="s">
        <v>262</v>
      </c>
      <c r="C21" s="338">
        <v>110811.72</v>
      </c>
      <c r="D21" s="338"/>
      <c r="E21" s="338">
        <v>107771752.26000001</v>
      </c>
      <c r="F21" s="339">
        <v>107882563.98</v>
      </c>
    </row>
    <row r="22" spans="2:7" x14ac:dyDescent="0.2">
      <c r="B22" s="337" t="s">
        <v>263</v>
      </c>
      <c r="C22" s="338">
        <v>781837601.75</v>
      </c>
      <c r="D22" s="338">
        <v>978617754.31000006</v>
      </c>
      <c r="E22" s="338">
        <v>381061054.86000013</v>
      </c>
      <c r="F22" s="339">
        <v>2141516410.9200001</v>
      </c>
    </row>
    <row r="23" spans="2:7" x14ac:dyDescent="0.2">
      <c r="B23" s="340" t="s">
        <v>264</v>
      </c>
      <c r="C23" s="341"/>
      <c r="D23" s="341"/>
      <c r="E23" s="342">
        <v>53423881.189999998</v>
      </c>
      <c r="F23" s="342">
        <v>53423881.189999998</v>
      </c>
    </row>
    <row r="24" spans="2:7" x14ac:dyDescent="0.2">
      <c r="B24" s="340" t="s">
        <v>265</v>
      </c>
      <c r="C24" s="341"/>
      <c r="D24" s="341"/>
      <c r="E24" s="342">
        <v>50000000</v>
      </c>
      <c r="F24" s="342">
        <v>50000000</v>
      </c>
    </row>
    <row r="25" spans="2:7" x14ac:dyDescent="0.2">
      <c r="B25" s="340" t="s">
        <v>266</v>
      </c>
      <c r="C25" s="341">
        <f>SUM(C14:C24)</f>
        <v>18152083640.550003</v>
      </c>
      <c r="D25" s="341">
        <f t="shared" ref="D25:F25" si="2">SUM(D14:D24)</f>
        <v>11401626338.289999</v>
      </c>
      <c r="E25" s="341">
        <f t="shared" si="2"/>
        <v>4398939267.6500006</v>
      </c>
      <c r="F25" s="341">
        <f t="shared" si="2"/>
        <v>33952649246.490002</v>
      </c>
    </row>
    <row r="26" spans="2:7" ht="13.5" thickBot="1" x14ac:dyDescent="0.25">
      <c r="B26" s="376"/>
      <c r="C26" s="353"/>
      <c r="D26" s="353"/>
      <c r="E26" s="353"/>
      <c r="F26" s="353"/>
    </row>
    <row r="27" spans="2:7" x14ac:dyDescent="0.2">
      <c r="B27" s="348" t="s">
        <v>269</v>
      </c>
      <c r="C27" s="349"/>
      <c r="D27" s="350"/>
      <c r="E27" s="377">
        <f>F25-D25-E14-E19-C20-E20-C21-E21-E23-E24</f>
        <v>20537428952.690006</v>
      </c>
      <c r="F27" s="336" t="s">
        <v>291</v>
      </c>
      <c r="G27" s="346">
        <f>E27-F22</f>
        <v>18395912541.770004</v>
      </c>
    </row>
    <row r="28" spans="2:7" x14ac:dyDescent="0.2">
      <c r="B28" s="352" t="s">
        <v>271</v>
      </c>
      <c r="C28" s="353"/>
      <c r="D28" s="353"/>
      <c r="E28" s="378">
        <v>112231000000</v>
      </c>
      <c r="G28" s="355">
        <f>G27/(E28-F22)</f>
        <v>0.16709963515166068</v>
      </c>
    </row>
    <row r="29" spans="2:7" ht="13.5" thickBot="1" x14ac:dyDescent="0.25">
      <c r="B29" s="356" t="s">
        <v>272</v>
      </c>
      <c r="C29" s="357"/>
      <c r="D29" s="357"/>
      <c r="E29" s="358">
        <f>E27/E28</f>
        <v>0.18299247937459354</v>
      </c>
      <c r="F29" s="353"/>
    </row>
    <row r="30" spans="2:7" x14ac:dyDescent="0.2">
      <c r="B30" s="336" t="s">
        <v>273</v>
      </c>
      <c r="C30" s="353"/>
      <c r="E30" s="353">
        <f>F25-D25-E14-E19</f>
        <v>21372288441.100006</v>
      </c>
      <c r="F30" s="353"/>
    </row>
    <row r="31" spans="2:7" x14ac:dyDescent="0.2">
      <c r="B31" s="336" t="s">
        <v>274</v>
      </c>
      <c r="C31" s="353"/>
      <c r="D31" s="353"/>
      <c r="E31" s="353">
        <v>7564000000</v>
      </c>
      <c r="F31" s="353"/>
    </row>
    <row r="32" spans="2:7" x14ac:dyDescent="0.2">
      <c r="B32" s="336" t="s">
        <v>275</v>
      </c>
      <c r="C32" s="353"/>
      <c r="D32" s="353"/>
      <c r="E32" s="353">
        <f>E28+E31</f>
        <v>119795000000</v>
      </c>
      <c r="F32" s="353"/>
    </row>
    <row r="33" spans="2:6" x14ac:dyDescent="0.2">
      <c r="B33" s="336" t="s">
        <v>276</v>
      </c>
      <c r="C33" s="353"/>
      <c r="D33" s="353"/>
      <c r="E33" s="361">
        <f>E30/E32</f>
        <v>0.17840718261279692</v>
      </c>
      <c r="F33" s="353"/>
    </row>
    <row r="35" spans="2:6" x14ac:dyDescent="0.2">
      <c r="B35" s="333" t="s">
        <v>292</v>
      </c>
      <c r="C35" s="334" t="s">
        <v>251</v>
      </c>
      <c r="D35" s="334" t="s">
        <v>252</v>
      </c>
      <c r="E35" s="334" t="s">
        <v>253</v>
      </c>
      <c r="F35" s="335" t="s">
        <v>254</v>
      </c>
    </row>
    <row r="36" spans="2:6" x14ac:dyDescent="0.2">
      <c r="B36" s="337" t="s">
        <v>255</v>
      </c>
      <c r="C36" s="338">
        <v>46678.96</v>
      </c>
      <c r="D36" s="338">
        <v>17673.349999999999</v>
      </c>
      <c r="E36" s="338">
        <v>877626697.26999998</v>
      </c>
      <c r="F36" s="339">
        <v>877691049.58000004</v>
      </c>
    </row>
    <row r="37" spans="2:6" x14ac:dyDescent="0.2">
      <c r="B37" s="337" t="s">
        <v>256</v>
      </c>
      <c r="C37" s="338">
        <v>4549309955.5799999</v>
      </c>
      <c r="D37" s="338">
        <v>1662734992.1700001</v>
      </c>
      <c r="E37" s="338">
        <v>555790953.13</v>
      </c>
      <c r="F37" s="339">
        <v>6767835900.8800001</v>
      </c>
    </row>
    <row r="38" spans="2:6" x14ac:dyDescent="0.2">
      <c r="B38" s="337" t="s">
        <v>257</v>
      </c>
      <c r="C38" s="338">
        <v>12561434918.23</v>
      </c>
      <c r="D38" s="338">
        <v>3676887692.9099998</v>
      </c>
      <c r="E38" s="338">
        <v>1689274029.5999999</v>
      </c>
      <c r="F38" s="339">
        <v>17927596640.740002</v>
      </c>
    </row>
    <row r="39" spans="2:6" x14ac:dyDescent="0.2">
      <c r="B39" s="337" t="s">
        <v>258</v>
      </c>
      <c r="C39" s="338">
        <v>277458312.98000002</v>
      </c>
      <c r="D39" s="338">
        <v>109155317.79000001</v>
      </c>
      <c r="E39" s="338">
        <v>5018171.18</v>
      </c>
      <c r="F39" s="339">
        <v>391631801.94999999</v>
      </c>
    </row>
    <row r="40" spans="2:6" x14ac:dyDescent="0.2">
      <c r="B40" s="340" t="s">
        <v>259</v>
      </c>
      <c r="C40" s="341">
        <v>82404308.549999997</v>
      </c>
      <c r="D40" s="341">
        <v>132655733.75</v>
      </c>
      <c r="E40" s="341">
        <v>133231223.72</v>
      </c>
      <c r="F40" s="342">
        <v>348291266.01999998</v>
      </c>
    </row>
    <row r="41" spans="2:6" x14ac:dyDescent="0.2">
      <c r="B41" s="337" t="s">
        <v>260</v>
      </c>
      <c r="C41" s="338"/>
      <c r="D41" s="338"/>
      <c r="E41" s="338">
        <v>321817104.30000001</v>
      </c>
      <c r="F41" s="338">
        <v>321817104.30000001</v>
      </c>
    </row>
    <row r="42" spans="2:6" x14ac:dyDescent="0.2">
      <c r="B42" s="337" t="s">
        <v>261</v>
      </c>
      <c r="C42" s="338">
        <v>235913644.11000001</v>
      </c>
      <c r="D42" s="338">
        <v>4997248824.1700001</v>
      </c>
      <c r="E42" s="338">
        <f>Table317[[#This Row],[Total]]-Table317[[#This Row],[FICO630-850]]-Table317[[#This Row],[FICO300-629]]</f>
        <v>414857029.99000037</v>
      </c>
      <c r="F42" s="338">
        <v>5648019498.2700005</v>
      </c>
    </row>
    <row r="43" spans="2:6" x14ac:dyDescent="0.2">
      <c r="B43" s="337" t="s">
        <v>262</v>
      </c>
      <c r="C43" s="338">
        <v>108449.08</v>
      </c>
      <c r="D43" s="338"/>
      <c r="E43" s="338">
        <f>Table317[[#This Row],[Total]]-Table317[[#This Row],[FICO300-629]]</f>
        <v>120080288.54700001</v>
      </c>
      <c r="F43" s="338">
        <v>120188737.627</v>
      </c>
    </row>
    <row r="44" spans="2:6" x14ac:dyDescent="0.2">
      <c r="B44" s="337" t="s">
        <v>263</v>
      </c>
      <c r="C44" s="338">
        <v>753090054.91999996</v>
      </c>
      <c r="D44" s="338">
        <v>972532679.42999995</v>
      </c>
      <c r="E44" s="338">
        <f>Table317[[#This Row],[Total]]-Table317[[#This Row],[FICO630-850]]-Table317[[#This Row],[FICO300-629]]</f>
        <v>384684811.35000002</v>
      </c>
      <c r="F44" s="338">
        <v>2110307545.7</v>
      </c>
    </row>
    <row r="45" spans="2:6" x14ac:dyDescent="0.2">
      <c r="B45" s="337" t="s">
        <v>264</v>
      </c>
      <c r="C45" s="338"/>
      <c r="D45" s="338"/>
      <c r="E45" s="339">
        <v>52516427.590000004</v>
      </c>
      <c r="F45" s="339">
        <v>52516427.590000004</v>
      </c>
    </row>
    <row r="46" spans="2:6" x14ac:dyDescent="0.2">
      <c r="B46" s="340" t="s">
        <v>265</v>
      </c>
      <c r="C46" s="341"/>
      <c r="D46" s="341"/>
      <c r="E46" s="342">
        <v>50000000</v>
      </c>
      <c r="F46" s="342">
        <v>50000000</v>
      </c>
    </row>
    <row r="47" spans="2:6" x14ac:dyDescent="0.2">
      <c r="B47" s="340" t="s">
        <v>254</v>
      </c>
      <c r="C47" s="341">
        <f>SUM(C36:C46)</f>
        <v>18459766322.41</v>
      </c>
      <c r="D47" s="341">
        <f t="shared" ref="D47:F47" si="3">SUM(D36:D46)</f>
        <v>11551232913.57</v>
      </c>
      <c r="E47" s="341">
        <f t="shared" si="3"/>
        <v>4604896736.677</v>
      </c>
      <c r="F47" s="341">
        <f t="shared" si="3"/>
        <v>34615895972.656998</v>
      </c>
    </row>
    <row r="48" spans="2:6" ht="13.5" thickBot="1" x14ac:dyDescent="0.25">
      <c r="B48" s="376"/>
      <c r="C48" s="353"/>
      <c r="D48" s="353"/>
      <c r="E48" s="353"/>
      <c r="F48" s="353"/>
    </row>
    <row r="49" spans="2:7" x14ac:dyDescent="0.2">
      <c r="B49" s="348" t="s">
        <v>269</v>
      </c>
      <c r="C49" s="349"/>
      <c r="D49" s="350"/>
      <c r="E49" s="377">
        <f>F47-D47-E36-E41-C42-E42-C43-E43-E45-E46</f>
        <v>20991743418.199993</v>
      </c>
      <c r="F49" s="336" t="s">
        <v>291</v>
      </c>
      <c r="G49" s="346">
        <f>E49-F44</f>
        <v>18881435872.499992</v>
      </c>
    </row>
    <row r="50" spans="2:7" x14ac:dyDescent="0.2">
      <c r="B50" s="352" t="s">
        <v>271</v>
      </c>
      <c r="C50" s="353"/>
      <c r="D50" s="353"/>
      <c r="E50" s="378">
        <v>112584000000</v>
      </c>
      <c r="G50" s="355">
        <f>G49/(E50-F44)</f>
        <v>0.17091341343832364</v>
      </c>
    </row>
    <row r="51" spans="2:7" ht="13.5" thickBot="1" x14ac:dyDescent="0.25">
      <c r="B51" s="356" t="s">
        <v>272</v>
      </c>
      <c r="C51" s="357"/>
      <c r="D51" s="357"/>
      <c r="E51" s="358">
        <f>E49/E50</f>
        <v>0.18645405580011362</v>
      </c>
      <c r="F51" s="353"/>
    </row>
    <row r="52" spans="2:7" x14ac:dyDescent="0.2">
      <c r="B52" s="336" t="s">
        <v>273</v>
      </c>
      <c r="C52" s="353"/>
      <c r="E52" s="353">
        <f>F47-D47-E36-E41</f>
        <v>21865219257.516998</v>
      </c>
      <c r="F52" s="353"/>
    </row>
    <row r="53" spans="2:7" x14ac:dyDescent="0.2">
      <c r="B53" s="336" t="s">
        <v>274</v>
      </c>
      <c r="C53" s="353"/>
      <c r="D53" s="353"/>
      <c r="E53" s="353">
        <v>7868000000</v>
      </c>
      <c r="F53" s="353"/>
    </row>
    <row r="54" spans="2:7" x14ac:dyDescent="0.2">
      <c r="B54" s="336" t="s">
        <v>275</v>
      </c>
      <c r="C54" s="353"/>
      <c r="D54" s="353"/>
      <c r="E54" s="353">
        <f>E50+E53</f>
        <v>120452000000</v>
      </c>
      <c r="F54" s="353"/>
    </row>
    <row r="55" spans="2:7" x14ac:dyDescent="0.2">
      <c r="B55" s="336" t="s">
        <v>276</v>
      </c>
      <c r="C55" s="353"/>
      <c r="D55" s="353"/>
      <c r="E55" s="361">
        <f>E52/E54</f>
        <v>0.18152641099788297</v>
      </c>
      <c r="F55" s="353"/>
    </row>
    <row r="57" spans="2:7" x14ac:dyDescent="0.2">
      <c r="B57" s="333" t="s">
        <v>293</v>
      </c>
      <c r="C57" s="334" t="s">
        <v>251</v>
      </c>
      <c r="D57" s="334" t="s">
        <v>252</v>
      </c>
      <c r="E57" s="334" t="s">
        <v>253</v>
      </c>
      <c r="F57" s="335" t="s">
        <v>254</v>
      </c>
    </row>
    <row r="58" spans="2:7" x14ac:dyDescent="0.2">
      <c r="B58" s="337" t="s">
        <v>255</v>
      </c>
      <c r="C58" s="338">
        <v>46323.17</v>
      </c>
      <c r="D58" s="338">
        <v>17108.509999999998</v>
      </c>
      <c r="E58" s="338">
        <v>902897637.15999997</v>
      </c>
      <c r="F58" s="339">
        <v>902961068.84000003</v>
      </c>
    </row>
    <row r="59" spans="2:7" x14ac:dyDescent="0.2">
      <c r="B59" s="337" t="s">
        <v>256</v>
      </c>
      <c r="C59" s="338">
        <v>4773270089.4899998</v>
      </c>
      <c r="D59" s="338">
        <v>1758933226.1800001</v>
      </c>
      <c r="E59" s="338">
        <v>616382043.02999997</v>
      </c>
      <c r="F59" s="339">
        <v>7148585358.6999998</v>
      </c>
    </row>
    <row r="60" spans="2:7" x14ac:dyDescent="0.2">
      <c r="B60" s="337" t="s">
        <v>257</v>
      </c>
      <c r="C60" s="338">
        <v>13128319668.85</v>
      </c>
      <c r="D60" s="338">
        <v>3689929114.1999998</v>
      </c>
      <c r="E60" s="338">
        <v>1886833385.4100001</v>
      </c>
      <c r="F60" s="339">
        <v>18705082168.459999</v>
      </c>
    </row>
    <row r="61" spans="2:7" x14ac:dyDescent="0.2">
      <c r="B61" s="337" t="s">
        <v>258</v>
      </c>
      <c r="C61" s="338">
        <v>246899459.55000001</v>
      </c>
      <c r="D61" s="338">
        <v>96969865.069999993</v>
      </c>
      <c r="E61" s="338">
        <v>4585400.05</v>
      </c>
      <c r="F61" s="339">
        <v>348454724.67000002</v>
      </c>
    </row>
    <row r="62" spans="2:7" x14ac:dyDescent="0.2">
      <c r="B62" s="340" t="s">
        <v>259</v>
      </c>
      <c r="C62" s="341">
        <v>80921521.109999999</v>
      </c>
      <c r="D62" s="341">
        <v>129991306.36</v>
      </c>
      <c r="E62" s="341">
        <v>130609105.41</v>
      </c>
      <c r="F62" s="342">
        <v>341521932.88</v>
      </c>
    </row>
    <row r="63" spans="2:7" x14ac:dyDescent="0.2">
      <c r="B63" s="337" t="s">
        <v>260</v>
      </c>
      <c r="C63" s="338"/>
      <c r="D63" s="338"/>
      <c r="E63" s="338">
        <v>338569067.69</v>
      </c>
      <c r="F63" s="339">
        <v>338569067.69</v>
      </c>
    </row>
    <row r="64" spans="2:7" x14ac:dyDescent="0.2">
      <c r="B64" s="337" t="s">
        <v>261</v>
      </c>
      <c r="C64" s="338">
        <v>230227417.19</v>
      </c>
      <c r="D64" s="338">
        <v>4736346107.3299999</v>
      </c>
      <c r="E64" s="338">
        <f>Table418[[#This Row],[Total]]-Table418[[#This Row],[FICO630-850]]-Table418[[#This Row],[FICO300-629]]</f>
        <v>390210287.99000031</v>
      </c>
      <c r="F64" s="339">
        <v>5356783812.5100002</v>
      </c>
    </row>
    <row r="65" spans="2:7" x14ac:dyDescent="0.2">
      <c r="B65" s="337" t="s">
        <v>262</v>
      </c>
      <c r="C65" s="338">
        <v>83389.2</v>
      </c>
      <c r="D65" s="338"/>
      <c r="E65" s="338">
        <f>Table418[[#This Row],[Total]]-Table418[[#This Row],[FICO300-629]]</f>
        <v>144526834.23000002</v>
      </c>
      <c r="F65" s="339">
        <v>144610223.43000001</v>
      </c>
    </row>
    <row r="66" spans="2:7" x14ac:dyDescent="0.2">
      <c r="B66" s="337" t="s">
        <v>263</v>
      </c>
      <c r="C66" s="338">
        <v>744764990.04999995</v>
      </c>
      <c r="D66" s="338">
        <v>974713487.47000003</v>
      </c>
      <c r="E66" s="338">
        <f>Table418[[#This Row],[Total]]-Table418[[#This Row],[FICO630-850]]-Table418[[#This Row],[FICO300-629]]</f>
        <v>390875731.80999994</v>
      </c>
      <c r="F66" s="339">
        <v>2110354209.3299999</v>
      </c>
    </row>
    <row r="67" spans="2:7" x14ac:dyDescent="0.2">
      <c r="B67" s="337" t="s">
        <v>264</v>
      </c>
      <c r="C67" s="338"/>
      <c r="D67" s="338"/>
      <c r="E67" s="339">
        <v>53388981.600000001</v>
      </c>
      <c r="F67" s="339">
        <v>53388981.600000001</v>
      </c>
    </row>
    <row r="68" spans="2:7" x14ac:dyDescent="0.2">
      <c r="B68" s="340" t="s">
        <v>265</v>
      </c>
      <c r="C68" s="341"/>
      <c r="D68" s="341"/>
      <c r="E68" s="342">
        <v>50000000</v>
      </c>
      <c r="F68" s="342">
        <v>50000000</v>
      </c>
    </row>
    <row r="69" spans="2:7" x14ac:dyDescent="0.2">
      <c r="B69" s="340" t="s">
        <v>254</v>
      </c>
      <c r="C69" s="341">
        <f>SUM(C58:C68)</f>
        <v>19204532858.610001</v>
      </c>
      <c r="D69" s="341">
        <f t="shared" ref="D69:F69" si="4">SUM(D58:D68)</f>
        <v>11386900215.119997</v>
      </c>
      <c r="E69" s="341">
        <f t="shared" si="4"/>
        <v>4908878474.3800011</v>
      </c>
      <c r="F69" s="341">
        <f t="shared" si="4"/>
        <v>35500311548.110001</v>
      </c>
    </row>
    <row r="70" spans="2:7" ht="13.5" thickBot="1" x14ac:dyDescent="0.25">
      <c r="B70" s="376"/>
      <c r="C70" s="353"/>
      <c r="D70" s="353"/>
      <c r="E70" s="353"/>
      <c r="F70" s="353"/>
    </row>
    <row r="71" spans="2:7" x14ac:dyDescent="0.2">
      <c r="B71" s="348" t="s">
        <v>269</v>
      </c>
      <c r="C71" s="349"/>
      <c r="D71" s="350"/>
      <c r="E71" s="377">
        <f>F69-D69-E58-E63-C64-E64-C65-E65-E67-E68</f>
        <v>22003507717.930008</v>
      </c>
      <c r="F71" s="336" t="s">
        <v>291</v>
      </c>
      <c r="G71" s="346">
        <f>E71-F66</f>
        <v>19893153508.600006</v>
      </c>
    </row>
    <row r="72" spans="2:7" x14ac:dyDescent="0.2">
      <c r="B72" s="352" t="s">
        <v>271</v>
      </c>
      <c r="C72" s="353"/>
      <c r="D72" s="353"/>
      <c r="E72" s="378">
        <v>114552000000</v>
      </c>
      <c r="G72" s="355">
        <f>G71/(E72-F66)</f>
        <v>0.17691980021027642</v>
      </c>
    </row>
    <row r="73" spans="2:7" ht="13.5" thickBot="1" x14ac:dyDescent="0.25">
      <c r="B73" s="356" t="s">
        <v>272</v>
      </c>
      <c r="C73" s="357"/>
      <c r="D73" s="357"/>
      <c r="E73" s="358">
        <f>E71/E72</f>
        <v>0.19208313881844061</v>
      </c>
      <c r="F73" s="353"/>
    </row>
    <row r="74" spans="2:7" x14ac:dyDescent="0.2">
      <c r="B74" s="336" t="s">
        <v>273</v>
      </c>
      <c r="C74" s="353"/>
      <c r="E74" s="353">
        <f>F69-D69-E58-E63</f>
        <v>22871944628.140007</v>
      </c>
      <c r="F74" s="353"/>
    </row>
    <row r="75" spans="2:7" x14ac:dyDescent="0.2">
      <c r="B75" s="336" t="s">
        <v>274</v>
      </c>
      <c r="C75" s="353"/>
      <c r="D75" s="353"/>
      <c r="E75" s="353">
        <v>7721000000</v>
      </c>
      <c r="F75" s="353"/>
    </row>
    <row r="76" spans="2:7" x14ac:dyDescent="0.2">
      <c r="B76" s="336" t="s">
        <v>275</v>
      </c>
      <c r="C76" s="353"/>
      <c r="D76" s="353"/>
      <c r="E76" s="353">
        <f>E72+E75</f>
        <v>122273000000</v>
      </c>
      <c r="F76" s="353"/>
    </row>
    <row r="77" spans="2:7" x14ac:dyDescent="0.2">
      <c r="B77" s="336" t="s">
        <v>276</v>
      </c>
      <c r="C77" s="353"/>
      <c r="D77" s="353"/>
      <c r="E77" s="361">
        <f>E74/E76</f>
        <v>0.18705637898914729</v>
      </c>
      <c r="F77" s="353"/>
    </row>
    <row r="79" spans="2:7" x14ac:dyDescent="0.2">
      <c r="B79" s="333" t="s">
        <v>294</v>
      </c>
      <c r="C79" s="334" t="s">
        <v>251</v>
      </c>
      <c r="D79" s="334" t="s">
        <v>252</v>
      </c>
      <c r="E79" s="334" t="s">
        <v>253</v>
      </c>
      <c r="F79" s="335" t="s">
        <v>254</v>
      </c>
    </row>
    <row r="80" spans="2:7" x14ac:dyDescent="0.2">
      <c r="B80" s="337" t="s">
        <v>255</v>
      </c>
      <c r="C80" s="338">
        <v>46026.86</v>
      </c>
      <c r="D80" s="338">
        <v>16544.97</v>
      </c>
      <c r="E80" s="338">
        <v>905632580.87</v>
      </c>
      <c r="F80" s="339">
        <v>905695152.70000005</v>
      </c>
    </row>
    <row r="81" spans="2:7" x14ac:dyDescent="0.2">
      <c r="B81" s="337" t="s">
        <v>256</v>
      </c>
      <c r="C81" s="338">
        <v>4980925189.1000004</v>
      </c>
      <c r="D81" s="338">
        <v>1229214459.71</v>
      </c>
      <c r="E81" s="338">
        <v>650049814.87</v>
      </c>
      <c r="F81" s="339">
        <v>6860189463.6800003</v>
      </c>
    </row>
    <row r="82" spans="2:7" x14ac:dyDescent="0.2">
      <c r="B82" s="337" t="s">
        <v>257</v>
      </c>
      <c r="C82" s="338">
        <v>13412286415.5</v>
      </c>
      <c r="D82" s="338">
        <v>3604243349.9899998</v>
      </c>
      <c r="E82" s="338">
        <v>2012647041.3199999</v>
      </c>
      <c r="F82" s="339">
        <v>19029176806.810001</v>
      </c>
    </row>
    <row r="83" spans="2:7" x14ac:dyDescent="0.2">
      <c r="B83" s="337" t="s">
        <v>258</v>
      </c>
      <c r="C83" s="338">
        <v>222104488.22999999</v>
      </c>
      <c r="D83" s="338">
        <v>86520013.010000005</v>
      </c>
      <c r="E83" s="338">
        <v>4203686.84</v>
      </c>
      <c r="F83" s="339">
        <v>312828188.07999998</v>
      </c>
    </row>
    <row r="84" spans="2:7" x14ac:dyDescent="0.2">
      <c r="B84" s="340" t="s">
        <v>259</v>
      </c>
      <c r="C84" s="341">
        <v>79059458.799999997</v>
      </c>
      <c r="D84" s="341">
        <v>127269025.81</v>
      </c>
      <c r="E84" s="341">
        <v>127384336.11</v>
      </c>
      <c r="F84" s="342">
        <v>333712820.72000003</v>
      </c>
    </row>
    <row r="85" spans="2:7" x14ac:dyDescent="0.2">
      <c r="B85" s="337" t="s">
        <v>260</v>
      </c>
      <c r="C85" s="338"/>
      <c r="D85" s="338"/>
      <c r="E85" s="338">
        <v>350497664.09100002</v>
      </c>
      <c r="F85" s="339">
        <v>350497664.09100002</v>
      </c>
    </row>
    <row r="86" spans="2:7" x14ac:dyDescent="0.2">
      <c r="B86" s="337" t="s">
        <v>261</v>
      </c>
      <c r="C86" s="338">
        <v>244786143.59</v>
      </c>
      <c r="D86" s="338">
        <v>4981763595.71</v>
      </c>
      <c r="E86" s="338">
        <f>Table519[[#This Row],[Total]]-Table519[[#This Row],[FICO630-850]]-Table519[[#This Row],[FICO300-629]]</f>
        <v>397768600.15499985</v>
      </c>
      <c r="F86" s="339">
        <v>5624318339.4549999</v>
      </c>
    </row>
    <row r="87" spans="2:7" x14ac:dyDescent="0.2">
      <c r="B87" s="337" t="s">
        <v>262</v>
      </c>
      <c r="C87" s="338">
        <v>81554.38</v>
      </c>
      <c r="D87" s="338"/>
      <c r="E87" s="338">
        <f>Table519[[#This Row],[Total]]-Table519[[#This Row],[FICO300-629]]</f>
        <v>144427337.50000003</v>
      </c>
      <c r="F87" s="338">
        <v>144508891.88000003</v>
      </c>
    </row>
    <row r="88" spans="2:7" x14ac:dyDescent="0.2">
      <c r="B88" s="337" t="s">
        <v>263</v>
      </c>
      <c r="C88" s="338">
        <v>749134873.21000004</v>
      </c>
      <c r="D88" s="338">
        <v>994424480.00999999</v>
      </c>
      <c r="E88" s="338">
        <f>Table519[[#This Row],[Total]]-Table519[[#This Row],[FICO630-850]]-Table519[[#This Row],[FICO300-629]]</f>
        <v>409543820.41999984</v>
      </c>
      <c r="F88" s="339">
        <v>2153103173.6399999</v>
      </c>
    </row>
    <row r="89" spans="2:7" x14ac:dyDescent="0.2">
      <c r="B89" s="337" t="s">
        <v>264</v>
      </c>
      <c r="C89" s="338"/>
      <c r="D89" s="338"/>
      <c r="E89" s="339">
        <v>50832356</v>
      </c>
      <c r="F89" s="339">
        <v>50832356</v>
      </c>
    </row>
    <row r="90" spans="2:7" x14ac:dyDescent="0.2">
      <c r="B90" s="340" t="s">
        <v>265</v>
      </c>
      <c r="C90" s="341"/>
      <c r="D90" s="341"/>
      <c r="E90" s="342">
        <v>50000000</v>
      </c>
      <c r="F90" s="342">
        <v>50000000</v>
      </c>
    </row>
    <row r="91" spans="2:7" x14ac:dyDescent="0.2">
      <c r="B91" s="340" t="s">
        <v>254</v>
      </c>
      <c r="C91" s="341">
        <f>SUM(C80:C90)</f>
        <v>19688424149.669998</v>
      </c>
      <c r="D91" s="341">
        <f t="shared" ref="D91:F91" si="5">SUM(D80:D90)</f>
        <v>11023451469.210001</v>
      </c>
      <c r="E91" s="341">
        <f t="shared" si="5"/>
        <v>5102987238.1760006</v>
      </c>
      <c r="F91" s="341">
        <f t="shared" si="5"/>
        <v>35814862857.056007</v>
      </c>
    </row>
    <row r="92" spans="2:7" ht="13.5" thickBot="1" x14ac:dyDescent="0.25">
      <c r="B92" s="376"/>
      <c r="C92" s="353"/>
      <c r="D92" s="353"/>
      <c r="E92" s="353"/>
      <c r="F92" s="353"/>
    </row>
    <row r="93" spans="2:7" x14ac:dyDescent="0.2">
      <c r="B93" s="348" t="s">
        <v>269</v>
      </c>
      <c r="C93" s="349"/>
      <c r="D93" s="350"/>
      <c r="E93" s="377">
        <f>F91-D91-E80-E85-C86-E86-C87-E87-E89-E90</f>
        <v>22647385151.26001</v>
      </c>
      <c r="F93" s="336" t="s">
        <v>291</v>
      </c>
      <c r="G93" s="346">
        <f>E93-F88</f>
        <v>20494281977.62001</v>
      </c>
    </row>
    <row r="94" spans="2:7" x14ac:dyDescent="0.2">
      <c r="B94" s="352" t="s">
        <v>271</v>
      </c>
      <c r="C94" s="353"/>
      <c r="D94" s="353"/>
      <c r="E94" s="378">
        <v>116238000000</v>
      </c>
      <c r="G94" s="355">
        <f>G93/(E94-F88)</f>
        <v>0.17964062332293473</v>
      </c>
    </row>
    <row r="95" spans="2:7" ht="13.5" thickBot="1" x14ac:dyDescent="0.25">
      <c r="B95" s="356" t="s">
        <v>272</v>
      </c>
      <c r="C95" s="357"/>
      <c r="D95" s="357"/>
      <c r="E95" s="358">
        <f>E93/E94</f>
        <v>0.19483632849205948</v>
      </c>
      <c r="F95" s="353"/>
    </row>
    <row r="96" spans="2:7" x14ac:dyDescent="0.2">
      <c r="B96" s="336" t="s">
        <v>273</v>
      </c>
      <c r="C96" s="353"/>
      <c r="E96" s="353">
        <f>F91-D91-E80-E85</f>
        <v>23535281142.88501</v>
      </c>
      <c r="F96" s="353"/>
    </row>
    <row r="97" spans="2:6" x14ac:dyDescent="0.2">
      <c r="B97" s="336" t="s">
        <v>274</v>
      </c>
      <c r="C97" s="353"/>
      <c r="D97" s="353"/>
      <c r="E97" s="353">
        <v>8122000000</v>
      </c>
      <c r="F97" s="353"/>
    </row>
    <row r="98" spans="2:6" x14ac:dyDescent="0.2">
      <c r="B98" s="336" t="s">
        <v>275</v>
      </c>
      <c r="C98" s="353"/>
      <c r="D98" s="353"/>
      <c r="E98" s="353">
        <f>E94+E97</f>
        <v>124360000000</v>
      </c>
      <c r="F98" s="353"/>
    </row>
    <row r="99" spans="2:6" x14ac:dyDescent="0.2">
      <c r="B99" s="336" t="s">
        <v>276</v>
      </c>
      <c r="C99" s="353"/>
      <c r="D99" s="353"/>
      <c r="E99" s="361">
        <f>E96/E98</f>
        <v>0.18925121536575273</v>
      </c>
      <c r="F99" s="353"/>
    </row>
    <row r="100" spans="2:6" x14ac:dyDescent="0.2">
      <c r="B100" s="376"/>
      <c r="C100" s="353"/>
      <c r="D100" s="353"/>
      <c r="E100" s="353"/>
      <c r="F100" s="353"/>
    </row>
    <row r="101" spans="2:6" x14ac:dyDescent="0.2">
      <c r="B101" s="333" t="s">
        <v>295</v>
      </c>
      <c r="C101" s="334" t="s">
        <v>251</v>
      </c>
      <c r="D101" s="334" t="s">
        <v>252</v>
      </c>
      <c r="E101" s="334" t="s">
        <v>253</v>
      </c>
      <c r="F101" s="335" t="s">
        <v>254</v>
      </c>
    </row>
    <row r="102" spans="2:6" x14ac:dyDescent="0.2">
      <c r="B102" s="337" t="s">
        <v>255</v>
      </c>
      <c r="C102" s="338">
        <v>46026.86</v>
      </c>
      <c r="D102" s="338">
        <v>15979.76</v>
      </c>
      <c r="E102" s="338">
        <v>926100494.55999994</v>
      </c>
      <c r="F102" s="339">
        <v>926162501.17999995</v>
      </c>
    </row>
    <row r="103" spans="2:6" x14ac:dyDescent="0.2">
      <c r="B103" s="337" t="s">
        <v>256</v>
      </c>
      <c r="C103" s="338">
        <v>5102187799.5799999</v>
      </c>
      <c r="D103" s="338">
        <v>1276209675.05</v>
      </c>
      <c r="E103" s="338">
        <v>688187128.96000004</v>
      </c>
      <c r="F103" s="339">
        <v>7066584603.5900002</v>
      </c>
    </row>
    <row r="104" spans="2:6" x14ac:dyDescent="0.2">
      <c r="B104" s="337" t="s">
        <v>257</v>
      </c>
      <c r="C104" s="338">
        <v>13601137874.379999</v>
      </c>
      <c r="D104" s="338">
        <v>3592503321.9099998</v>
      </c>
      <c r="E104" s="338">
        <v>2117917939.3299999</v>
      </c>
      <c r="F104" s="339">
        <v>19311559135.619999</v>
      </c>
    </row>
    <row r="105" spans="2:6" x14ac:dyDescent="0.2">
      <c r="B105" s="337" t="s">
        <v>258</v>
      </c>
      <c r="C105" s="338">
        <v>200086015.80000001</v>
      </c>
      <c r="D105" s="338">
        <v>77302057.439999998</v>
      </c>
      <c r="E105" s="338">
        <v>3842759.51</v>
      </c>
      <c r="F105" s="339">
        <v>281230832.75</v>
      </c>
    </row>
    <row r="106" spans="2:6" x14ac:dyDescent="0.2">
      <c r="B106" s="340" t="s">
        <v>259</v>
      </c>
      <c r="C106" s="341">
        <v>77394660.689999998</v>
      </c>
      <c r="D106" s="341">
        <v>124605840.17</v>
      </c>
      <c r="E106" s="341">
        <v>124688852.19</v>
      </c>
      <c r="F106" s="342">
        <v>326689353.05000001</v>
      </c>
    </row>
    <row r="107" spans="2:6" x14ac:dyDescent="0.2">
      <c r="B107" s="337" t="s">
        <v>260</v>
      </c>
      <c r="C107" s="338"/>
      <c r="D107" s="338"/>
      <c r="E107" s="338">
        <v>360831683.07200003</v>
      </c>
      <c r="F107" s="339">
        <v>360831683.07200003</v>
      </c>
    </row>
    <row r="108" spans="2:6" x14ac:dyDescent="0.2">
      <c r="B108" s="337" t="s">
        <v>261</v>
      </c>
      <c r="C108" s="338">
        <v>255572394.41</v>
      </c>
      <c r="D108" s="338">
        <v>5179743852.3800001</v>
      </c>
      <c r="E108" s="338">
        <f>Table620[[#This Row],[Total]]-Table620[[#This Row],[FICO630-850]]-Table620[[#This Row],[FICO300-629]]</f>
        <v>453435835.43000019</v>
      </c>
      <c r="F108" s="339">
        <v>5888752082.2200003</v>
      </c>
    </row>
    <row r="109" spans="2:6" x14ac:dyDescent="0.2">
      <c r="B109" s="337" t="s">
        <v>262</v>
      </c>
      <c r="C109" s="338">
        <v>79719.17</v>
      </c>
      <c r="D109" s="338"/>
      <c r="E109" s="338">
        <f>Table620[[#This Row],[Total]]-Table620[[#This Row],[FICO300-629]]</f>
        <v>132679644.745</v>
      </c>
      <c r="F109" s="339">
        <v>132759363.91500001</v>
      </c>
    </row>
    <row r="110" spans="2:6" x14ac:dyDescent="0.2">
      <c r="B110" s="337" t="s">
        <v>263</v>
      </c>
      <c r="C110" s="338">
        <v>758291918</v>
      </c>
      <c r="D110" s="338">
        <v>1010138316.98</v>
      </c>
      <c r="E110" s="338">
        <f>Table620[[#This Row],[Total]]-Table620[[#This Row],[FICO630-850]]-Table620[[#This Row],[FICO300-629]]</f>
        <v>433722016.98499966</v>
      </c>
      <c r="F110" s="339">
        <v>2202152251.9649997</v>
      </c>
    </row>
    <row r="111" spans="2:6" x14ac:dyDescent="0.2">
      <c r="B111" s="337" t="s">
        <v>264</v>
      </c>
      <c r="C111" s="338"/>
      <c r="D111" s="338"/>
      <c r="E111" s="339">
        <v>50324495</v>
      </c>
      <c r="F111" s="339">
        <v>50324495</v>
      </c>
    </row>
    <row r="112" spans="2:6" x14ac:dyDescent="0.2">
      <c r="B112" s="340" t="s">
        <v>265</v>
      </c>
      <c r="C112" s="341"/>
      <c r="D112" s="341"/>
      <c r="E112" s="342">
        <v>50000000</v>
      </c>
      <c r="F112" s="342">
        <v>50000000</v>
      </c>
    </row>
    <row r="113" spans="2:7" x14ac:dyDescent="0.2">
      <c r="B113" s="340" t="s">
        <v>254</v>
      </c>
      <c r="C113" s="341">
        <f>SUM(C102:C112)</f>
        <v>19994796408.889996</v>
      </c>
      <c r="D113" s="341">
        <f t="shared" ref="D113:F113" si="6">SUM(D102:D112)</f>
        <v>11260519043.689999</v>
      </c>
      <c r="E113" s="341">
        <f t="shared" si="6"/>
        <v>5341730849.7819996</v>
      </c>
      <c r="F113" s="341">
        <f t="shared" si="6"/>
        <v>36597046302.362</v>
      </c>
    </row>
    <row r="114" spans="2:7" ht="13.5" thickBot="1" x14ac:dyDescent="0.25">
      <c r="B114" s="376"/>
      <c r="C114" s="353"/>
      <c r="D114" s="353"/>
      <c r="E114" s="353"/>
      <c r="F114" s="353"/>
    </row>
    <row r="115" spans="2:7" x14ac:dyDescent="0.2">
      <c r="B115" s="348" t="s">
        <v>269</v>
      </c>
      <c r="C115" s="349"/>
      <c r="D115" s="350"/>
      <c r="E115" s="377">
        <f>F113-D113-E102-E107-C108-E108-C109-E109-E111-E112</f>
        <v>23107502992.285004</v>
      </c>
      <c r="F115" s="336" t="s">
        <v>291</v>
      </c>
      <c r="G115" s="346">
        <f>E115-F110</f>
        <v>20905350740.320004</v>
      </c>
    </row>
    <row r="116" spans="2:7" x14ac:dyDescent="0.2">
      <c r="B116" s="352" t="s">
        <v>271</v>
      </c>
      <c r="C116" s="353"/>
      <c r="D116" s="353"/>
      <c r="E116" s="378">
        <v>117352000000</v>
      </c>
      <c r="G116" s="355">
        <f>G115/(E116-F110)</f>
        <v>0.18154909580135981</v>
      </c>
    </row>
    <row r="117" spans="2:7" ht="13.5" thickBot="1" x14ac:dyDescent="0.25">
      <c r="B117" s="356" t="s">
        <v>272</v>
      </c>
      <c r="C117" s="357"/>
      <c r="D117" s="357"/>
      <c r="E117" s="358">
        <f>E115/E116</f>
        <v>0.19690761974474236</v>
      </c>
      <c r="F117" s="353"/>
    </row>
    <row r="118" spans="2:7" x14ac:dyDescent="0.2">
      <c r="B118" s="336" t="s">
        <v>273</v>
      </c>
      <c r="C118" s="353"/>
      <c r="E118" s="353">
        <f>F113-D113-E102-E107</f>
        <v>24049595081.040001</v>
      </c>
      <c r="F118" s="353"/>
    </row>
    <row r="119" spans="2:7" x14ac:dyDescent="0.2">
      <c r="B119" s="336" t="s">
        <v>274</v>
      </c>
      <c r="C119" s="353"/>
      <c r="D119" s="353"/>
      <c r="E119" s="353">
        <v>8394000000</v>
      </c>
      <c r="F119" s="353"/>
    </row>
    <row r="120" spans="2:7" x14ac:dyDescent="0.2">
      <c r="B120" s="336" t="s">
        <v>275</v>
      </c>
      <c r="C120" s="353"/>
      <c r="D120" s="353"/>
      <c r="E120" s="353">
        <f>E116+E119</f>
        <v>125746000000</v>
      </c>
      <c r="F120" s="353"/>
    </row>
    <row r="121" spans="2:7" x14ac:dyDescent="0.2">
      <c r="B121" s="336" t="s">
        <v>276</v>
      </c>
      <c r="C121" s="353"/>
      <c r="D121" s="353"/>
      <c r="E121" s="361">
        <f>E118/E120</f>
        <v>0.19125534872711658</v>
      </c>
      <c r="F121" s="353"/>
    </row>
    <row r="122" spans="2:7" x14ac:dyDescent="0.2">
      <c r="B122" s="376"/>
      <c r="C122" s="353"/>
      <c r="D122" s="353"/>
      <c r="E122" s="353"/>
      <c r="F122" s="353"/>
    </row>
    <row r="123" spans="2:7" x14ac:dyDescent="0.2">
      <c r="B123" s="333" t="s">
        <v>296</v>
      </c>
      <c r="C123" s="334" t="s">
        <v>251</v>
      </c>
      <c r="D123" s="334" t="s">
        <v>252</v>
      </c>
      <c r="E123" s="334" t="s">
        <v>253</v>
      </c>
      <c r="F123" s="335" t="s">
        <v>254</v>
      </c>
    </row>
    <row r="124" spans="2:7" x14ac:dyDescent="0.2">
      <c r="B124" s="337" t="s">
        <v>255</v>
      </c>
      <c r="C124" s="338">
        <v>45491.86</v>
      </c>
      <c r="D124" s="338">
        <v>15415.72</v>
      </c>
      <c r="E124" s="338">
        <v>955723265.95000005</v>
      </c>
      <c r="F124" s="339">
        <v>955784173.52999997</v>
      </c>
    </row>
    <row r="125" spans="2:7" x14ac:dyDescent="0.2">
      <c r="B125" s="337" t="s">
        <v>256</v>
      </c>
      <c r="C125" s="338">
        <v>5254057805.4799995</v>
      </c>
      <c r="D125" s="338">
        <v>1154127632.1199999</v>
      </c>
      <c r="E125" s="338">
        <v>719105675.25</v>
      </c>
      <c r="F125" s="339">
        <v>7127291112.8500004</v>
      </c>
    </row>
    <row r="126" spans="2:7" x14ac:dyDescent="0.2">
      <c r="B126" s="337" t="s">
        <v>257</v>
      </c>
      <c r="C126" s="338">
        <v>13830632344.83</v>
      </c>
      <c r="D126" s="338">
        <v>3587723856.1799998</v>
      </c>
      <c r="E126" s="338">
        <v>2232502715.2199998</v>
      </c>
      <c r="F126" s="339">
        <v>19650858916.23</v>
      </c>
    </row>
    <row r="127" spans="2:7" x14ac:dyDescent="0.2">
      <c r="B127" s="337" t="s">
        <v>258</v>
      </c>
      <c r="C127" s="338">
        <v>179650200.15000001</v>
      </c>
      <c r="D127" s="338">
        <v>68853695.290000007</v>
      </c>
      <c r="E127" s="338">
        <v>3538266.8</v>
      </c>
      <c r="F127" s="339">
        <v>252042162.24000001</v>
      </c>
    </row>
    <row r="128" spans="2:7" x14ac:dyDescent="0.2">
      <c r="B128" s="340" t="s">
        <v>259</v>
      </c>
      <c r="C128" s="341">
        <v>76095538.329999998</v>
      </c>
      <c r="D128" s="341">
        <v>121993612.45999999</v>
      </c>
      <c r="E128" s="341">
        <v>122059596.78</v>
      </c>
      <c r="F128" s="342">
        <v>320148747.56999999</v>
      </c>
    </row>
    <row r="129" spans="2:7" x14ac:dyDescent="0.2">
      <c r="B129" s="337" t="s">
        <v>260</v>
      </c>
      <c r="C129" s="338"/>
      <c r="D129" s="338"/>
      <c r="E129" s="338">
        <v>371607592.81300002</v>
      </c>
      <c r="F129" s="339">
        <v>371607592.81300002</v>
      </c>
    </row>
    <row r="130" spans="2:7" x14ac:dyDescent="0.2">
      <c r="B130" s="337" t="s">
        <v>261</v>
      </c>
      <c r="C130" s="338">
        <v>237626225.37</v>
      </c>
      <c r="D130" s="338">
        <v>4854666851.5500002</v>
      </c>
      <c r="E130" s="338">
        <f>Table721[[#This Row],[Total]]-Table721[[#This Row],[FICO630-850]]-Table721[[#This Row],[FICO300-629]]</f>
        <v>394385667.09000003</v>
      </c>
      <c r="F130" s="339">
        <v>5486678744.0100002</v>
      </c>
    </row>
    <row r="131" spans="2:7" x14ac:dyDescent="0.2">
      <c r="B131" s="337" t="s">
        <v>262</v>
      </c>
      <c r="C131" s="338">
        <v>77883.72</v>
      </c>
      <c r="D131" s="338"/>
      <c r="E131" s="338">
        <f>Table721[[#This Row],[Total]]-Table721[[#This Row],[FICO300-629]]</f>
        <v>125917028.509</v>
      </c>
      <c r="F131" s="339">
        <v>125994912.229</v>
      </c>
    </row>
    <row r="132" spans="2:7" x14ac:dyDescent="0.2">
      <c r="B132" s="337" t="s">
        <v>263</v>
      </c>
      <c r="C132" s="338">
        <v>768799107.63</v>
      </c>
      <c r="D132" s="338">
        <v>1045029393.1700001</v>
      </c>
      <c r="E132" s="338">
        <f>Table721[[#This Row],[Total]]-Table721[[#This Row],[FICO630-850]]-Table721[[#This Row],[FICO300-629]]</f>
        <v>444901390.99999964</v>
      </c>
      <c r="F132" s="338">
        <v>2258729891.7999997</v>
      </c>
    </row>
    <row r="133" spans="2:7" x14ac:dyDescent="0.2">
      <c r="B133" s="337" t="s">
        <v>264</v>
      </c>
      <c r="C133" s="338"/>
      <c r="D133" s="338"/>
      <c r="E133" s="339">
        <v>42665617</v>
      </c>
      <c r="F133" s="339">
        <v>42665617</v>
      </c>
    </row>
    <row r="134" spans="2:7" x14ac:dyDescent="0.2">
      <c r="B134" s="340" t="s">
        <v>265</v>
      </c>
      <c r="C134" s="341"/>
      <c r="D134" s="341"/>
      <c r="E134" s="342">
        <v>50000000</v>
      </c>
      <c r="F134" s="342">
        <v>50000000</v>
      </c>
    </row>
    <row r="135" spans="2:7" x14ac:dyDescent="0.2">
      <c r="B135" s="340" t="s">
        <v>254</v>
      </c>
      <c r="C135" s="341">
        <f>SUM(C124:C134)</f>
        <v>20346984597.370003</v>
      </c>
      <c r="D135" s="341">
        <f t="shared" ref="D135:F135" si="7">SUM(D124:D134)</f>
        <v>10832410456.49</v>
      </c>
      <c r="E135" s="341">
        <f t="shared" si="7"/>
        <v>5462406816.4120007</v>
      </c>
      <c r="F135" s="341">
        <f t="shared" si="7"/>
        <v>36641801870.272003</v>
      </c>
    </row>
    <row r="136" spans="2:7" ht="13.5" thickBot="1" x14ac:dyDescent="0.25">
      <c r="B136" s="376"/>
      <c r="C136" s="353"/>
      <c r="D136" s="353"/>
      <c r="E136" s="353"/>
      <c r="F136" s="353"/>
    </row>
    <row r="137" spans="2:7" x14ac:dyDescent="0.2">
      <c r="B137" s="348" t="s">
        <v>269</v>
      </c>
      <c r="C137" s="349"/>
      <c r="D137" s="350"/>
      <c r="E137" s="377">
        <f>F135-D135-E124-E129-C130-E130-C131-E131-E133-E134</f>
        <v>23631388133.330006</v>
      </c>
      <c r="F137" s="336" t="s">
        <v>291</v>
      </c>
      <c r="G137" s="346">
        <f>E137-F132</f>
        <v>21372658241.530006</v>
      </c>
    </row>
    <row r="138" spans="2:7" x14ac:dyDescent="0.2">
      <c r="B138" s="352" t="s">
        <v>271</v>
      </c>
      <c r="C138" s="353"/>
      <c r="D138" s="353"/>
      <c r="E138" s="378">
        <v>117352000000</v>
      </c>
      <c r="G138" s="355">
        <f>G137/(E138-F132)</f>
        <v>0.18569859229334104</v>
      </c>
    </row>
    <row r="139" spans="2:7" ht="13.5" thickBot="1" x14ac:dyDescent="0.25">
      <c r="B139" s="356" t="s">
        <v>272</v>
      </c>
      <c r="C139" s="357"/>
      <c r="D139" s="357"/>
      <c r="E139" s="358">
        <f>E137/E138</f>
        <v>0.20137183970729094</v>
      </c>
      <c r="F139" s="353"/>
    </row>
    <row r="140" spans="2:7" x14ac:dyDescent="0.2">
      <c r="B140" s="336" t="s">
        <v>273</v>
      </c>
      <c r="C140" s="353"/>
      <c r="E140" s="353">
        <f>F135-D135-E124-E129</f>
        <v>24482060555.019005</v>
      </c>
      <c r="F140" s="353"/>
    </row>
    <row r="141" spans="2:7" x14ac:dyDescent="0.2">
      <c r="B141" s="336" t="s">
        <v>274</v>
      </c>
      <c r="C141" s="353"/>
      <c r="D141" s="353"/>
      <c r="E141" s="353">
        <v>7965000000</v>
      </c>
      <c r="F141" s="353"/>
    </row>
    <row r="142" spans="2:7" x14ac:dyDescent="0.2">
      <c r="B142" s="336" t="s">
        <v>275</v>
      </c>
      <c r="C142" s="353"/>
      <c r="D142" s="353"/>
      <c r="E142" s="353">
        <f>E138+E141</f>
        <v>125317000000</v>
      </c>
      <c r="F142" s="353"/>
    </row>
    <row r="143" spans="2:7" x14ac:dyDescent="0.2">
      <c r="B143" s="336" t="s">
        <v>276</v>
      </c>
      <c r="C143" s="353"/>
      <c r="D143" s="353"/>
      <c r="E143" s="361">
        <f>E140/E142</f>
        <v>0.19536104882034364</v>
      </c>
      <c r="F143" s="353"/>
    </row>
    <row r="144" spans="2:7" x14ac:dyDescent="0.2">
      <c r="B144" s="376"/>
      <c r="C144" s="353"/>
      <c r="D144" s="353"/>
      <c r="E144" s="353"/>
      <c r="F144" s="353"/>
    </row>
    <row r="145" spans="2:7" x14ac:dyDescent="0.2">
      <c r="B145" s="333" t="s">
        <v>297</v>
      </c>
      <c r="C145" s="334" t="s">
        <v>251</v>
      </c>
      <c r="D145" s="334" t="s">
        <v>252</v>
      </c>
      <c r="E145" s="334" t="s">
        <v>253</v>
      </c>
      <c r="F145" s="335" t="s">
        <v>254</v>
      </c>
    </row>
    <row r="146" spans="2:7" x14ac:dyDescent="0.2">
      <c r="B146" s="337" t="s">
        <v>255</v>
      </c>
      <c r="C146" s="338">
        <v>45081.59</v>
      </c>
      <c r="D146" s="338">
        <v>14849.71</v>
      </c>
      <c r="E146" s="338">
        <v>991826556.35000002</v>
      </c>
      <c r="F146" s="339">
        <v>991886487.64999998</v>
      </c>
    </row>
    <row r="147" spans="2:7" x14ac:dyDescent="0.2">
      <c r="B147" s="337" t="s">
        <v>256</v>
      </c>
      <c r="C147" s="338">
        <v>5409052288.8699999</v>
      </c>
      <c r="D147" s="338">
        <v>1350977136.45</v>
      </c>
      <c r="E147" s="338">
        <v>776848043.77999997</v>
      </c>
      <c r="F147" s="339">
        <v>7536877469.1000004</v>
      </c>
    </row>
    <row r="148" spans="2:7" x14ac:dyDescent="0.2">
      <c r="B148" s="337" t="s">
        <v>257</v>
      </c>
      <c r="C148" s="338">
        <v>13491172125.209999</v>
      </c>
      <c r="D148" s="338">
        <v>3454555240.3400002</v>
      </c>
      <c r="E148" s="338">
        <v>2304524411.1799998</v>
      </c>
      <c r="F148" s="339">
        <v>19250251776.73</v>
      </c>
    </row>
    <row r="149" spans="2:7" x14ac:dyDescent="0.2">
      <c r="B149" s="337" t="s">
        <v>258</v>
      </c>
      <c r="C149" s="338">
        <v>124667732.03</v>
      </c>
      <c r="D149" s="338">
        <v>44789016.219999999</v>
      </c>
      <c r="E149" s="338">
        <v>3169119.89</v>
      </c>
      <c r="F149" s="339">
        <v>172625868.13999999</v>
      </c>
    </row>
    <row r="150" spans="2:7" x14ac:dyDescent="0.2">
      <c r="B150" s="340" t="s">
        <v>259</v>
      </c>
      <c r="C150" s="341">
        <v>74571197.75</v>
      </c>
      <c r="D150" s="341">
        <v>119731513.68000001</v>
      </c>
      <c r="E150" s="341">
        <v>119175401.84</v>
      </c>
      <c r="F150" s="342">
        <v>313478113.26999998</v>
      </c>
    </row>
    <row r="151" spans="2:7" x14ac:dyDescent="0.2">
      <c r="B151" s="337" t="s">
        <v>260</v>
      </c>
      <c r="C151" s="338"/>
      <c r="D151" s="338"/>
      <c r="E151" s="338">
        <v>382116674.51099998</v>
      </c>
      <c r="F151" s="339">
        <v>382116674.51099998</v>
      </c>
    </row>
    <row r="152" spans="2:7" x14ac:dyDescent="0.2">
      <c r="B152" s="337" t="s">
        <v>261</v>
      </c>
      <c r="C152" s="338">
        <v>251559248.21000001</v>
      </c>
      <c r="D152" s="338">
        <v>5189842084.0699997</v>
      </c>
      <c r="E152" s="338">
        <f>Table822[[#This Row],[Total]]-Table822[[#This Row],[FICO630-850]]-Table822[[#This Row],[FICO300-629]]</f>
        <v>437705492.0720005</v>
      </c>
      <c r="F152" s="339">
        <v>5879106824.3520002</v>
      </c>
    </row>
    <row r="153" spans="2:7" x14ac:dyDescent="0.2">
      <c r="B153" s="337" t="s">
        <v>262</v>
      </c>
      <c r="C153" s="338">
        <v>76048.27</v>
      </c>
      <c r="D153" s="338"/>
      <c r="E153" s="338">
        <f>Table822[[#This Row],[Total]]-Table822[[#This Row],[FICO300-629]]</f>
        <v>124488921.84900001</v>
      </c>
      <c r="F153" s="339">
        <v>124564970.119</v>
      </c>
    </row>
    <row r="154" spans="2:7" x14ac:dyDescent="0.2">
      <c r="B154" s="337" t="s">
        <v>263</v>
      </c>
      <c r="C154" s="338">
        <v>760137583.16999996</v>
      </c>
      <c r="D154" s="338">
        <v>1047644366.6900001</v>
      </c>
      <c r="E154" s="338">
        <f>Table822[[#This Row],[Total]]-Table822[[#This Row],[FICO630-850]]-Table822[[#This Row],[FICO300-629]]</f>
        <v>496823173.63000023</v>
      </c>
      <c r="F154" s="339">
        <v>2304605123.4900002</v>
      </c>
    </row>
    <row r="155" spans="2:7" x14ac:dyDescent="0.2">
      <c r="B155" s="337" t="s">
        <v>264</v>
      </c>
      <c r="C155" s="338"/>
      <c r="D155" s="338"/>
      <c r="E155" s="339">
        <f>25214476.16+5580438.19</f>
        <v>30794914.350000001</v>
      </c>
      <c r="F155" s="339">
        <f>25214476.16+5580438.19</f>
        <v>30794914.350000001</v>
      </c>
    </row>
    <row r="156" spans="2:7" x14ac:dyDescent="0.2">
      <c r="B156" s="340" t="s">
        <v>265</v>
      </c>
      <c r="C156" s="341"/>
      <c r="D156" s="341"/>
      <c r="E156" s="342">
        <v>50000000</v>
      </c>
      <c r="F156" s="342">
        <v>50000000</v>
      </c>
    </row>
    <row r="157" spans="2:7" x14ac:dyDescent="0.2">
      <c r="B157" s="340" t="s">
        <v>254</v>
      </c>
      <c r="C157" s="341">
        <f>SUM(C146:C156)</f>
        <v>20111281305.099995</v>
      </c>
      <c r="D157" s="341">
        <f t="shared" ref="D157:F157" si="8">SUM(D146:D156)</f>
        <v>11207554207.160002</v>
      </c>
      <c r="E157" s="341">
        <f t="shared" si="8"/>
        <v>5717472709.4520006</v>
      </c>
      <c r="F157" s="341">
        <f t="shared" si="8"/>
        <v>37036308221.711998</v>
      </c>
    </row>
    <row r="158" spans="2:7" ht="13.5" thickBot="1" x14ac:dyDescent="0.25">
      <c r="B158" s="376"/>
      <c r="C158" s="353"/>
      <c r="D158" s="353"/>
      <c r="E158" s="353"/>
      <c r="F158" s="353"/>
    </row>
    <row r="159" spans="2:7" x14ac:dyDescent="0.2">
      <c r="B159" s="348" t="s">
        <v>269</v>
      </c>
      <c r="C159" s="349"/>
      <c r="D159" s="350"/>
      <c r="E159" s="377">
        <f>F157-D157-E146-E151-C152-E152-C153-E153-E155-E156</f>
        <v>23560186158.939999</v>
      </c>
      <c r="F159" s="336" t="s">
        <v>291</v>
      </c>
      <c r="G159" s="346">
        <f>E159-F154</f>
        <v>21255581035.449997</v>
      </c>
    </row>
    <row r="160" spans="2:7" x14ac:dyDescent="0.2">
      <c r="B160" s="352" t="s">
        <v>271</v>
      </c>
      <c r="C160" s="353"/>
      <c r="D160" s="353"/>
      <c r="E160" s="378">
        <v>118926000000</v>
      </c>
      <c r="G160" s="355">
        <f>G159/(E160-F154)</f>
        <v>0.1822614200246658</v>
      </c>
    </row>
    <row r="161" spans="2:6" ht="13.5" thickBot="1" x14ac:dyDescent="0.25">
      <c r="B161" s="356" t="s">
        <v>272</v>
      </c>
      <c r="C161" s="357"/>
      <c r="D161" s="357"/>
      <c r="E161" s="358">
        <f>E159/E160</f>
        <v>0.19810795081765131</v>
      </c>
      <c r="F161" s="353"/>
    </row>
    <row r="162" spans="2:6" x14ac:dyDescent="0.2">
      <c r="B162" s="336" t="s">
        <v>273</v>
      </c>
      <c r="C162" s="353"/>
      <c r="E162" s="353">
        <f>F157-D157-E146-E151</f>
        <v>24454810783.690994</v>
      </c>
      <c r="F162" s="353"/>
    </row>
    <row r="163" spans="2:6" x14ac:dyDescent="0.2">
      <c r="B163" s="336" t="s">
        <v>274</v>
      </c>
      <c r="C163" s="353"/>
      <c r="D163" s="353"/>
      <c r="E163" s="353">
        <v>8333000000</v>
      </c>
      <c r="F163" s="353"/>
    </row>
    <row r="164" spans="2:6" x14ac:dyDescent="0.2">
      <c r="B164" s="336" t="s">
        <v>275</v>
      </c>
      <c r="C164" s="353"/>
      <c r="D164" s="353"/>
      <c r="E164" s="353">
        <f>E160+E163</f>
        <v>127259000000</v>
      </c>
      <c r="F164" s="353"/>
    </row>
    <row r="165" spans="2:6" x14ac:dyDescent="0.2">
      <c r="B165" s="336" t="s">
        <v>276</v>
      </c>
      <c r="C165" s="353"/>
      <c r="D165" s="353"/>
      <c r="E165" s="361">
        <f>E162/E164</f>
        <v>0.19216566831179716</v>
      </c>
      <c r="F165" s="353"/>
    </row>
    <row r="166" spans="2:6" x14ac:dyDescent="0.2">
      <c r="B166" s="376"/>
      <c r="C166" s="353"/>
      <c r="D166" s="353"/>
      <c r="E166" s="353"/>
      <c r="F166" s="353"/>
    </row>
    <row r="167" spans="2:6" x14ac:dyDescent="0.2">
      <c r="B167" s="333" t="s">
        <v>298</v>
      </c>
      <c r="C167" s="334" t="s">
        <v>251</v>
      </c>
      <c r="D167" s="334" t="s">
        <v>252</v>
      </c>
      <c r="E167" s="334" t="s">
        <v>253</v>
      </c>
      <c r="F167" s="335" t="s">
        <v>254</v>
      </c>
    </row>
    <row r="168" spans="2:6" x14ac:dyDescent="0.2">
      <c r="B168" s="337" t="s">
        <v>255</v>
      </c>
      <c r="C168" s="338">
        <v>45081.59</v>
      </c>
      <c r="D168" s="338">
        <v>14283.65</v>
      </c>
      <c r="E168" s="338">
        <v>1024162580.2</v>
      </c>
      <c r="F168" s="339">
        <v>1024221945.4400001</v>
      </c>
    </row>
    <row r="169" spans="2:6" x14ac:dyDescent="0.2">
      <c r="B169" s="337" t="s">
        <v>256</v>
      </c>
      <c r="C169" s="338">
        <v>5488423067.8800001</v>
      </c>
      <c r="D169" s="338">
        <v>1413735809.05</v>
      </c>
      <c r="E169" s="338">
        <v>799446874.94000006</v>
      </c>
      <c r="F169" s="339">
        <v>7701605751.8699999</v>
      </c>
    </row>
    <row r="170" spans="2:6" x14ac:dyDescent="0.2">
      <c r="B170" s="337" t="s">
        <v>257</v>
      </c>
      <c r="C170" s="338">
        <v>13632740958.950001</v>
      </c>
      <c r="D170" s="338">
        <v>3444445041.5900002</v>
      </c>
      <c r="E170" s="338">
        <v>2401902956.9899998</v>
      </c>
      <c r="F170" s="339">
        <v>19479088957.529999</v>
      </c>
    </row>
    <row r="171" spans="2:6" x14ac:dyDescent="0.2">
      <c r="B171" s="337" t="s">
        <v>258</v>
      </c>
      <c r="C171" s="338">
        <v>110685597.54000001</v>
      </c>
      <c r="D171" s="338">
        <v>39778144.840000004</v>
      </c>
      <c r="E171" s="338">
        <v>2941641.37</v>
      </c>
      <c r="F171" s="339">
        <v>153405383.75</v>
      </c>
    </row>
    <row r="172" spans="2:6" x14ac:dyDescent="0.2">
      <c r="B172" s="340" t="s">
        <v>259</v>
      </c>
      <c r="C172" s="341">
        <v>73355914.469999999</v>
      </c>
      <c r="D172" s="341">
        <v>117421501.45999999</v>
      </c>
      <c r="E172" s="341">
        <v>116677643.22</v>
      </c>
      <c r="F172" s="342">
        <v>307455059.14999998</v>
      </c>
    </row>
    <row r="173" spans="2:6" x14ac:dyDescent="0.2">
      <c r="B173" s="337" t="s">
        <v>260</v>
      </c>
      <c r="C173" s="338"/>
      <c r="D173" s="338"/>
      <c r="E173" s="338">
        <v>393068710.25099999</v>
      </c>
      <c r="F173" s="339">
        <v>393068710.25099999</v>
      </c>
    </row>
    <row r="174" spans="2:6" x14ac:dyDescent="0.2">
      <c r="B174" s="337" t="s">
        <v>261</v>
      </c>
      <c r="C174" s="338">
        <v>263772765.88</v>
      </c>
      <c r="D174" s="338">
        <v>5496490835.3199997</v>
      </c>
      <c r="E174" s="338">
        <f>Table923[[#This Row],[Total]]-Table923[[#This Row],[FICO630-850]]-Table923[[#This Row],[FICO300-629]]</f>
        <v>470054352.94200051</v>
      </c>
      <c r="F174" s="339">
        <v>6230317954.1420002</v>
      </c>
    </row>
    <row r="175" spans="2:6" x14ac:dyDescent="0.2">
      <c r="B175" s="337" t="s">
        <v>262</v>
      </c>
      <c r="C175" s="338">
        <v>74212.820000000007</v>
      </c>
      <c r="D175" s="338"/>
      <c r="E175" s="338">
        <f>Table923[[#This Row],[Total]]-Table923[[#This Row],[FICO300-629]]</f>
        <v>118224186.699</v>
      </c>
      <c r="F175" s="339">
        <v>118298399.51899999</v>
      </c>
    </row>
    <row r="176" spans="2:6" x14ac:dyDescent="0.2">
      <c r="B176" s="337" t="s">
        <v>263</v>
      </c>
      <c r="C176" s="338">
        <v>754279648.99000001</v>
      </c>
      <c r="D176" s="338">
        <v>1044868980.38</v>
      </c>
      <c r="E176" s="338">
        <f>Table923[[#This Row],[Total]]-Table923[[#This Row],[FICO630-850]]-Table923[[#This Row],[FICO300-629]]</f>
        <v>497615918.22000003</v>
      </c>
      <c r="F176" s="339">
        <v>2296764547.5900002</v>
      </c>
    </row>
    <row r="177" spans="2:7" x14ac:dyDescent="0.2">
      <c r="B177" s="337" t="s">
        <v>264</v>
      </c>
      <c r="C177" s="338"/>
      <c r="D177" s="338"/>
      <c r="E177" s="339">
        <v>27310079.609999999</v>
      </c>
      <c r="F177" s="339">
        <v>27310079.609999999</v>
      </c>
    </row>
    <row r="178" spans="2:7" x14ac:dyDescent="0.2">
      <c r="B178" s="340" t="s">
        <v>265</v>
      </c>
      <c r="C178" s="341"/>
      <c r="D178" s="341"/>
      <c r="E178" s="342">
        <v>50000000</v>
      </c>
      <c r="F178" s="342">
        <v>50000000</v>
      </c>
    </row>
    <row r="179" spans="2:7" x14ac:dyDescent="0.2">
      <c r="B179" s="340" t="s">
        <v>254</v>
      </c>
      <c r="C179" s="341">
        <f>SUM(C168:C178)</f>
        <v>20323377248.120007</v>
      </c>
      <c r="D179" s="341">
        <f t="shared" ref="D179:F179" si="9">SUM(D168:D178)</f>
        <v>11556754596.289999</v>
      </c>
      <c r="E179" s="341">
        <f t="shared" si="9"/>
        <v>5901404944.4420013</v>
      </c>
      <c r="F179" s="341">
        <f t="shared" si="9"/>
        <v>37781536788.85199</v>
      </c>
    </row>
    <row r="180" spans="2:7" ht="13.5" thickBot="1" x14ac:dyDescent="0.25">
      <c r="B180" s="376"/>
      <c r="C180" s="353"/>
      <c r="D180" s="353"/>
      <c r="E180" s="353"/>
      <c r="F180" s="353"/>
    </row>
    <row r="181" spans="2:7" x14ac:dyDescent="0.2">
      <c r="B181" s="348" t="s">
        <v>269</v>
      </c>
      <c r="C181" s="349"/>
      <c r="D181" s="350"/>
      <c r="E181" s="377">
        <f>F179-D179-E168-E173-C174-E174-C175-E175-E177-E178</f>
        <v>23878115304.159985</v>
      </c>
      <c r="F181" s="336" t="s">
        <v>291</v>
      </c>
      <c r="G181" s="346">
        <f>E181-F176</f>
        <v>21581350756.569984</v>
      </c>
    </row>
    <row r="182" spans="2:7" x14ac:dyDescent="0.2">
      <c r="B182" s="352" t="s">
        <v>271</v>
      </c>
      <c r="C182" s="353"/>
      <c r="D182" s="353"/>
      <c r="E182" s="378">
        <v>119388000000</v>
      </c>
      <c r="G182" s="355">
        <f>G181/(E182-F176)</f>
        <v>0.18431226447637411</v>
      </c>
    </row>
    <row r="183" spans="2:7" ht="13.5" thickBot="1" x14ac:dyDescent="0.25">
      <c r="B183" s="356" t="s">
        <v>272</v>
      </c>
      <c r="C183" s="357"/>
      <c r="D183" s="357"/>
      <c r="E183" s="358">
        <f>E181/E182</f>
        <v>0.20000431621402473</v>
      </c>
      <c r="F183" s="353"/>
    </row>
    <row r="184" spans="2:7" x14ac:dyDescent="0.2">
      <c r="B184" s="336" t="s">
        <v>273</v>
      </c>
      <c r="C184" s="353"/>
      <c r="E184" s="353">
        <f>F179-D179-E168-E173</f>
        <v>24807550902.110989</v>
      </c>
      <c r="F184" s="353"/>
    </row>
    <row r="185" spans="2:7" x14ac:dyDescent="0.2">
      <c r="B185" s="336" t="s">
        <v>274</v>
      </c>
      <c r="C185" s="353"/>
      <c r="D185" s="353"/>
      <c r="E185" s="353">
        <v>8663000000</v>
      </c>
      <c r="F185" s="353"/>
    </row>
    <row r="186" spans="2:7" x14ac:dyDescent="0.2">
      <c r="B186" s="336" t="s">
        <v>275</v>
      </c>
      <c r="C186" s="353"/>
      <c r="D186" s="353"/>
      <c r="E186" s="353">
        <f>E182+E185</f>
        <v>128051000000</v>
      </c>
      <c r="F186" s="353"/>
    </row>
    <row r="187" spans="2:7" x14ac:dyDescent="0.2">
      <c r="B187" s="336" t="s">
        <v>276</v>
      </c>
      <c r="C187" s="353"/>
      <c r="D187" s="353"/>
      <c r="E187" s="361">
        <f>E184/E186</f>
        <v>0.19373180140811855</v>
      </c>
      <c r="F187" s="353"/>
    </row>
    <row r="188" spans="2:7" x14ac:dyDescent="0.2">
      <c r="B188" s="376"/>
      <c r="C188" s="353"/>
      <c r="D188" s="353"/>
      <c r="E188" s="353"/>
      <c r="F188" s="353"/>
    </row>
    <row r="189" spans="2:7" x14ac:dyDescent="0.2">
      <c r="B189" s="333" t="s">
        <v>299</v>
      </c>
      <c r="C189" s="334" t="s">
        <v>251</v>
      </c>
      <c r="D189" s="334" t="s">
        <v>252</v>
      </c>
      <c r="E189" s="334" t="s">
        <v>253</v>
      </c>
      <c r="F189" s="335" t="s">
        <v>254</v>
      </c>
    </row>
    <row r="190" spans="2:7" x14ac:dyDescent="0.2">
      <c r="B190" s="337" t="s">
        <v>255</v>
      </c>
      <c r="C190" s="338">
        <v>45081.59</v>
      </c>
      <c r="D190" s="338">
        <v>13718.23</v>
      </c>
      <c r="E190" s="338">
        <v>1058951127.85</v>
      </c>
      <c r="F190" s="339">
        <v>1059009927.67</v>
      </c>
    </row>
    <row r="191" spans="2:7" x14ac:dyDescent="0.2">
      <c r="B191" s="337" t="s">
        <v>256</v>
      </c>
      <c r="C191" s="338">
        <v>5544890879.4200001</v>
      </c>
      <c r="D191" s="338">
        <v>1553748073.8299999</v>
      </c>
      <c r="E191" s="338">
        <v>822727951.65999997</v>
      </c>
      <c r="F191" s="339">
        <v>7921366904.9099998</v>
      </c>
    </row>
    <row r="192" spans="2:7" x14ac:dyDescent="0.2">
      <c r="B192" s="337" t="s">
        <v>257</v>
      </c>
      <c r="C192" s="338">
        <v>13080734241.33</v>
      </c>
      <c r="D192" s="338">
        <v>3261598436.5799999</v>
      </c>
      <c r="E192" s="338">
        <v>2426721859.1399999</v>
      </c>
      <c r="F192" s="339">
        <v>18769054537.049999</v>
      </c>
    </row>
    <row r="193" spans="2:7" x14ac:dyDescent="0.2">
      <c r="B193" s="337" t="s">
        <v>258</v>
      </c>
      <c r="C193" s="338">
        <v>81502232.060000002</v>
      </c>
      <c r="D193" s="338">
        <v>27920927.399999999</v>
      </c>
      <c r="E193" s="338">
        <v>2724169.25</v>
      </c>
      <c r="F193" s="339">
        <v>112147328.70999999</v>
      </c>
    </row>
    <row r="194" spans="2:7" x14ac:dyDescent="0.2">
      <c r="B194" s="340" t="s">
        <v>259</v>
      </c>
      <c r="C194" s="341">
        <v>71820797.930000007</v>
      </c>
      <c r="D194" s="341">
        <v>115348261.68000001</v>
      </c>
      <c r="E194" s="341">
        <v>114451041.66</v>
      </c>
      <c r="F194" s="342">
        <v>301620101.26999998</v>
      </c>
    </row>
    <row r="195" spans="2:7" x14ac:dyDescent="0.2">
      <c r="B195" s="337" t="s">
        <v>260</v>
      </c>
      <c r="C195" s="338"/>
      <c r="D195" s="338"/>
      <c r="E195" s="338">
        <f>Table91324[[#This Row],[Total]]</f>
        <v>399920802.52100009</v>
      </c>
      <c r="F195" s="339">
        <v>399920802.52100009</v>
      </c>
    </row>
    <row r="196" spans="2:7" x14ac:dyDescent="0.2">
      <c r="B196" s="337" t="s">
        <v>261</v>
      </c>
      <c r="C196" s="338">
        <v>272231538.27999997</v>
      </c>
      <c r="D196" s="338">
        <v>5706973821.5100002</v>
      </c>
      <c r="E196" s="338">
        <f>Table91324[[#This Row],[Total]]-Table91324[[#This Row],[FICO630-850]]-Table91324[[#This Row],[FICO300-629]]</f>
        <v>506510272.8900001</v>
      </c>
      <c r="F196" s="339">
        <v>6485715632.6800003</v>
      </c>
    </row>
    <row r="197" spans="2:7" x14ac:dyDescent="0.2">
      <c r="B197" s="337" t="s">
        <v>262</v>
      </c>
      <c r="C197" s="338">
        <v>72377.37</v>
      </c>
      <c r="D197" s="338"/>
      <c r="E197" s="338">
        <f>Table91324[[#This Row],[Total]]-Table91324[[#This Row],[FICO300-629]]</f>
        <v>112403695.69999999</v>
      </c>
      <c r="F197" s="339">
        <v>112476073.06999999</v>
      </c>
    </row>
    <row r="198" spans="2:7" x14ac:dyDescent="0.2">
      <c r="B198" s="337" t="s">
        <v>263</v>
      </c>
      <c r="C198" s="338">
        <v>752821146.69000006</v>
      </c>
      <c r="D198" s="338">
        <v>1019508271.5799999</v>
      </c>
      <c r="E198" s="338">
        <f>Table91324[[#This Row],[Total]]-Table91324[[#This Row],[FICO630-850]]-Table91324[[#This Row],[FICO300-629]]</f>
        <v>486902441.95499992</v>
      </c>
      <c r="F198" s="339">
        <v>2259231860.2249999</v>
      </c>
    </row>
    <row r="199" spans="2:7" x14ac:dyDescent="0.2">
      <c r="B199" s="337" t="s">
        <v>264</v>
      </c>
      <c r="C199" s="338"/>
      <c r="D199" s="339"/>
      <c r="E199" s="339">
        <f>Table91324[[#This Row],[Total]]</f>
        <v>27012268.380000003</v>
      </c>
      <c r="F199" s="339">
        <v>27012268.380000003</v>
      </c>
    </row>
    <row r="200" spans="2:7" x14ac:dyDescent="0.2">
      <c r="B200" s="340" t="s">
        <v>265</v>
      </c>
      <c r="C200" s="341"/>
      <c r="D200" s="341"/>
      <c r="E200" s="342">
        <v>50000000</v>
      </c>
      <c r="F200" s="342">
        <v>50000000</v>
      </c>
    </row>
    <row r="201" spans="2:7" x14ac:dyDescent="0.2">
      <c r="B201" s="340" t="s">
        <v>254</v>
      </c>
      <c r="C201" s="341">
        <f t="shared" ref="C201:E201" si="10">SUM(C190:C200)</f>
        <v>19804118294.669998</v>
      </c>
      <c r="D201" s="341">
        <f t="shared" si="10"/>
        <v>11685111510.809999</v>
      </c>
      <c r="E201" s="341">
        <f t="shared" si="10"/>
        <v>6008325631.0059996</v>
      </c>
      <c r="F201" s="341">
        <f>SUM(F190:F200)</f>
        <v>37497555436.485992</v>
      </c>
    </row>
    <row r="202" spans="2:7" ht="13.5" thickBot="1" x14ac:dyDescent="0.25"/>
    <row r="203" spans="2:7" x14ac:dyDescent="0.2">
      <c r="B203" s="348" t="s">
        <v>269</v>
      </c>
      <c r="C203" s="349"/>
      <c r="D203" s="350"/>
      <c r="E203" s="377">
        <f>F201-D201-E190-E195-C196-E196-C197-E197-E199-E200</f>
        <v>23385341842.684998</v>
      </c>
      <c r="F203" s="336" t="s">
        <v>291</v>
      </c>
      <c r="G203" s="346">
        <f>E203-F198</f>
        <v>21126109982.459999</v>
      </c>
    </row>
    <row r="204" spans="2:7" x14ac:dyDescent="0.2">
      <c r="B204" s="352" t="s">
        <v>271</v>
      </c>
      <c r="C204" s="353"/>
      <c r="D204" s="353"/>
      <c r="E204" s="378">
        <v>119316400102.14</v>
      </c>
      <c r="G204" s="355">
        <f>G203/(E204-F198)</f>
        <v>0.18047685844236333</v>
      </c>
    </row>
    <row r="205" spans="2:7" ht="13.5" thickBot="1" x14ac:dyDescent="0.25">
      <c r="B205" s="356" t="s">
        <v>272</v>
      </c>
      <c r="C205" s="357"/>
      <c r="D205" s="357"/>
      <c r="E205" s="358">
        <f>E203/E204</f>
        <v>0.19599436307721432</v>
      </c>
    </row>
    <row r="206" spans="2:7" x14ac:dyDescent="0.2">
      <c r="B206" s="336" t="s">
        <v>273</v>
      </c>
      <c r="C206" s="353"/>
      <c r="E206" s="353">
        <f>F201-D201-E190-E195</f>
        <v>24353571995.304996</v>
      </c>
    </row>
    <row r="207" spans="2:7" x14ac:dyDescent="0.2">
      <c r="B207" s="336" t="s">
        <v>274</v>
      </c>
      <c r="C207" s="353"/>
      <c r="D207" s="353"/>
      <c r="E207" s="379">
        <v>8896241387</v>
      </c>
    </row>
    <row r="208" spans="2:7" x14ac:dyDescent="0.2">
      <c r="B208" s="336" t="s">
        <v>275</v>
      </c>
      <c r="C208" s="353"/>
      <c r="D208" s="353"/>
      <c r="E208" s="353">
        <f>E204+E207</f>
        <v>128212641489.14</v>
      </c>
    </row>
    <row r="209" spans="2:6" x14ac:dyDescent="0.2">
      <c r="B209" s="336" t="s">
        <v>276</v>
      </c>
      <c r="C209" s="353"/>
      <c r="D209" s="353"/>
      <c r="E209" s="361">
        <f>E206/E208</f>
        <v>0.18994672999828818</v>
      </c>
    </row>
    <row r="211" spans="2:6" x14ac:dyDescent="0.2">
      <c r="B211" s="333" t="s">
        <v>300</v>
      </c>
      <c r="C211" s="334" t="s">
        <v>251</v>
      </c>
      <c r="D211" s="334" t="s">
        <v>252</v>
      </c>
      <c r="E211" s="334" t="s">
        <v>253</v>
      </c>
      <c r="F211" s="335" t="s">
        <v>254</v>
      </c>
    </row>
    <row r="212" spans="2:6" x14ac:dyDescent="0.2">
      <c r="B212" s="337" t="s">
        <v>255</v>
      </c>
      <c r="C212" s="338">
        <v>44977.49</v>
      </c>
      <c r="D212" s="338">
        <v>13150.67</v>
      </c>
      <c r="E212" s="338">
        <v>1088704757.3699999</v>
      </c>
      <c r="F212" s="341">
        <f>SUM(Table9131125[[#This Row],[FICO300-629]:[Not_Available]])</f>
        <v>1088762885.53</v>
      </c>
    </row>
    <row r="213" spans="2:6" x14ac:dyDescent="0.2">
      <c r="B213" s="337" t="s">
        <v>256</v>
      </c>
      <c r="C213" s="338">
        <v>5543388010.1400003</v>
      </c>
      <c r="D213" s="338">
        <v>1727211417.8299999</v>
      </c>
      <c r="E213" s="338">
        <v>828784107.67999995</v>
      </c>
      <c r="F213" s="341">
        <f>SUM(Table9131125[[#This Row],[FICO300-629]:[Not_Available]])</f>
        <v>8099383535.6500006</v>
      </c>
    </row>
    <row r="214" spans="2:6" x14ac:dyDescent="0.2">
      <c r="B214" s="337" t="s">
        <v>257</v>
      </c>
      <c r="C214" s="338">
        <v>13077757197.879999</v>
      </c>
      <c r="D214" s="338">
        <v>3239169663.98</v>
      </c>
      <c r="E214" s="338">
        <v>2449205422.9099998</v>
      </c>
      <c r="F214" s="341">
        <f>SUM(Table9131125[[#This Row],[FICO300-629]:[Not_Available]])</f>
        <v>18766132284.769997</v>
      </c>
    </row>
    <row r="215" spans="2:6" x14ac:dyDescent="0.2">
      <c r="B215" s="337" t="s">
        <v>258</v>
      </c>
      <c r="C215" s="338">
        <v>71615065.620000005</v>
      </c>
      <c r="D215" s="338">
        <v>24376647.57</v>
      </c>
      <c r="E215" s="338">
        <v>2509167.36</v>
      </c>
      <c r="F215" s="341">
        <f>SUM(Table9131125[[#This Row],[FICO300-629]:[Not_Available]])</f>
        <v>98500880.549999997</v>
      </c>
    </row>
    <row r="216" spans="2:6" x14ac:dyDescent="0.2">
      <c r="B216" s="340" t="s">
        <v>259</v>
      </c>
      <c r="C216" s="341">
        <v>70690287.989999995</v>
      </c>
      <c r="D216" s="341">
        <v>112969518.23999999</v>
      </c>
      <c r="E216" s="341">
        <v>111764213.84</v>
      </c>
      <c r="F216" s="341">
        <f>SUM(Table9131125[[#This Row],[FICO300-629]:[Not_Available]])</f>
        <v>295424020.06999999</v>
      </c>
    </row>
    <row r="217" spans="2:6" x14ac:dyDescent="0.2">
      <c r="B217" s="337" t="s">
        <v>260</v>
      </c>
      <c r="C217" s="338"/>
      <c r="D217" s="338"/>
      <c r="E217" s="338">
        <f>Table9131125[[#This Row],[Total]]-Table9131125[[#This Row],[FICO630-850]]-Table9131125[[#This Row],[FICO300-629]]</f>
        <v>404897264.50099993</v>
      </c>
      <c r="F217" s="341">
        <v>404897264.50099993</v>
      </c>
    </row>
    <row r="218" spans="2:6" x14ac:dyDescent="0.2">
      <c r="B218" s="337" t="s">
        <v>261</v>
      </c>
      <c r="C218" s="338">
        <v>280447311.62</v>
      </c>
      <c r="D218" s="338">
        <v>5854319804.3000002</v>
      </c>
      <c r="E218" s="338">
        <f>Table9131125[[#This Row],[Total]]-Table9131125[[#This Row],[FICO630-850]]-Table9131125[[#This Row],[FICO300-629]]</f>
        <v>517446054.75199974</v>
      </c>
      <c r="F218" s="341">
        <v>6652213170.6719999</v>
      </c>
    </row>
    <row r="219" spans="2:6" x14ac:dyDescent="0.2">
      <c r="B219" s="337" t="s">
        <v>262</v>
      </c>
      <c r="C219" s="338">
        <v>70541.919999999998</v>
      </c>
      <c r="D219" s="338"/>
      <c r="E219" s="338">
        <f>Table9131125[[#This Row],[Total]]-Table9131125[[#This Row],[FICO300-629]]</f>
        <v>107069807.53899996</v>
      </c>
      <c r="F219" s="341">
        <v>107140349.45899996</v>
      </c>
    </row>
    <row r="220" spans="2:6" x14ac:dyDescent="0.2">
      <c r="B220" s="337" t="s">
        <v>263</v>
      </c>
      <c r="C220" s="338">
        <v>761422914.29999995</v>
      </c>
      <c r="D220" s="338">
        <v>1000335881.72</v>
      </c>
      <c r="E220" s="338">
        <f>Table9131125[[#This Row],[Total]]-Table9131125[[#This Row],[FICO630-850]]-Table9131125[[#This Row],[FICO300-629]]</f>
        <v>492827369.48000002</v>
      </c>
      <c r="F220" s="341">
        <f>982521915+1245716071+26348179.5</f>
        <v>2254586165.5</v>
      </c>
    </row>
    <row r="221" spans="2:6" x14ac:dyDescent="0.2">
      <c r="B221" s="337" t="s">
        <v>264</v>
      </c>
      <c r="C221" s="338"/>
      <c r="D221" s="339"/>
      <c r="E221" s="339">
        <f>Table9131125[[#This Row],[Total]]</f>
        <v>26892735</v>
      </c>
      <c r="F221" s="341">
        <v>26892735</v>
      </c>
    </row>
    <row r="222" spans="2:6" x14ac:dyDescent="0.2">
      <c r="B222" s="340" t="s">
        <v>265</v>
      </c>
      <c r="C222" s="341"/>
      <c r="D222" s="341"/>
      <c r="E222" s="342">
        <v>50000000</v>
      </c>
      <c r="F222" s="341">
        <f>SUM(Table9131125[[#This Row],[FICO300-629]:[Not_Available]])</f>
        <v>50000000</v>
      </c>
    </row>
    <row r="223" spans="2:6" x14ac:dyDescent="0.2">
      <c r="B223" s="340" t="s">
        <v>254</v>
      </c>
      <c r="C223" s="341">
        <f t="shared" ref="C223:E223" si="11">SUM(C212:C222)</f>
        <v>19805436306.959995</v>
      </c>
      <c r="D223" s="341">
        <f t="shared" si="11"/>
        <v>11958396084.309999</v>
      </c>
      <c r="E223" s="341">
        <f t="shared" si="11"/>
        <v>6080100900.4319992</v>
      </c>
      <c r="F223" s="341">
        <f>SUM(Table9131125[[#This Row],[FICO300-629]:[Not_Available]])</f>
        <v>37843933291.701996</v>
      </c>
    </row>
    <row r="224" spans="2:6" ht="13.5" thickBot="1" x14ac:dyDescent="0.25"/>
    <row r="225" spans="2:7" x14ac:dyDescent="0.2">
      <c r="B225" s="348" t="s">
        <v>269</v>
      </c>
      <c r="C225" s="349"/>
      <c r="D225" s="350"/>
      <c r="E225" s="377">
        <f>F223-D223-E212-E217-C218-E218-C219-E219-E221-E222</f>
        <v>23410008734.690002</v>
      </c>
      <c r="F225" s="336" t="s">
        <v>270</v>
      </c>
      <c r="G225" s="346">
        <f>+E225-F220</f>
        <v>21155422569.190002</v>
      </c>
    </row>
    <row r="226" spans="2:7" x14ac:dyDescent="0.2">
      <c r="B226" s="352" t="s">
        <v>271</v>
      </c>
      <c r="C226" s="353"/>
      <c r="D226" s="353"/>
      <c r="E226" s="354">
        <v>120204242855</v>
      </c>
      <c r="G226" s="380">
        <f>+G225/(E226-F220)</f>
        <v>0.17935976384298608</v>
      </c>
    </row>
    <row r="227" spans="2:7" ht="13.5" thickBot="1" x14ac:dyDescent="0.25">
      <c r="B227" s="356" t="s">
        <v>272</v>
      </c>
      <c r="C227" s="357"/>
      <c r="D227" s="357"/>
      <c r="E227" s="358">
        <f>E225/E226</f>
        <v>0.19475193369778995</v>
      </c>
    </row>
    <row r="228" spans="2:7" x14ac:dyDescent="0.2">
      <c r="B228" s="336" t="s">
        <v>273</v>
      </c>
      <c r="C228" s="353"/>
      <c r="E228" s="353">
        <f>F223-D223-E212-E217</f>
        <v>24391935185.521</v>
      </c>
    </row>
    <row r="229" spans="2:7" x14ac:dyDescent="0.2">
      <c r="B229" s="336" t="s">
        <v>274</v>
      </c>
      <c r="C229" s="353"/>
      <c r="D229" s="353"/>
      <c r="E229" s="379">
        <v>9032767009</v>
      </c>
    </row>
    <row r="230" spans="2:7" x14ac:dyDescent="0.2">
      <c r="B230" s="336" t="s">
        <v>275</v>
      </c>
      <c r="C230" s="353"/>
      <c r="D230" s="353"/>
      <c r="E230" s="353">
        <f>E226+E229</f>
        <v>129237009864</v>
      </c>
    </row>
    <row r="231" spans="2:7" x14ac:dyDescent="0.2">
      <c r="B231" s="336" t="s">
        <v>276</v>
      </c>
      <c r="C231" s="353"/>
      <c r="D231" s="353"/>
      <c r="E231" s="381">
        <f>E228/E230</f>
        <v>0.18873800323289255</v>
      </c>
    </row>
    <row r="233" spans="2:7" x14ac:dyDescent="0.2">
      <c r="B233" s="333" t="s">
        <v>301</v>
      </c>
      <c r="C233" s="334" t="s">
        <v>251</v>
      </c>
      <c r="D233" s="334" t="s">
        <v>252</v>
      </c>
      <c r="E233" s="334" t="s">
        <v>253</v>
      </c>
      <c r="F233" s="335" t="s">
        <v>254</v>
      </c>
    </row>
    <row r="234" spans="2:7" x14ac:dyDescent="0.2">
      <c r="B234" s="337" t="s">
        <v>255</v>
      </c>
      <c r="C234" s="338">
        <v>44977</v>
      </c>
      <c r="D234" s="338">
        <v>12585</v>
      </c>
      <c r="E234" s="338">
        <v>1043505807</v>
      </c>
      <c r="F234" s="382">
        <v>1043563369</v>
      </c>
    </row>
    <row r="235" spans="2:7" x14ac:dyDescent="0.2">
      <c r="B235" s="337" t="s">
        <v>256</v>
      </c>
      <c r="C235" s="338">
        <v>5583751326</v>
      </c>
      <c r="D235" s="338">
        <v>1266319667</v>
      </c>
      <c r="E235" s="338">
        <v>797837194</v>
      </c>
      <c r="F235" s="382">
        <v>7647908186</v>
      </c>
    </row>
    <row r="236" spans="2:7" x14ac:dyDescent="0.2">
      <c r="B236" s="337" t="s">
        <v>257</v>
      </c>
      <c r="C236" s="338">
        <v>13047627394</v>
      </c>
      <c r="D236" s="338">
        <v>3107054470</v>
      </c>
      <c r="E236" s="338">
        <v>2460751175</v>
      </c>
      <c r="F236" s="382">
        <v>18615433038</v>
      </c>
    </row>
    <row r="237" spans="2:7" x14ac:dyDescent="0.2">
      <c r="B237" s="337" t="s">
        <v>258</v>
      </c>
      <c r="C237" s="338">
        <v>63401956</v>
      </c>
      <c r="D237" s="338">
        <v>21612107</v>
      </c>
      <c r="E237" s="338">
        <v>2331121</v>
      </c>
      <c r="F237" s="383">
        <v>87345183</v>
      </c>
    </row>
    <row r="238" spans="2:7" x14ac:dyDescent="0.2">
      <c r="B238" s="340" t="s">
        <v>259</v>
      </c>
      <c r="C238" s="338">
        <v>69551314</v>
      </c>
      <c r="D238" s="338">
        <v>110990151</v>
      </c>
      <c r="E238" s="338">
        <v>109798391</v>
      </c>
      <c r="F238" s="383">
        <v>290339856</v>
      </c>
    </row>
    <row r="239" spans="2:7" x14ac:dyDescent="0.2">
      <c r="B239" s="337" t="s">
        <v>260</v>
      </c>
      <c r="C239" s="338"/>
      <c r="D239" s="338"/>
      <c r="E239" s="338">
        <f>Table913111726[[#This Row],[Total]]</f>
        <v>408465798.79000002</v>
      </c>
      <c r="F239" s="383">
        <v>408465798.79000002</v>
      </c>
    </row>
    <row r="240" spans="2:7" x14ac:dyDescent="0.2">
      <c r="B240" s="337" t="s">
        <v>261</v>
      </c>
      <c r="C240" s="338">
        <v>286033385.99000001</v>
      </c>
      <c r="D240" s="338">
        <v>5934389684.1599998</v>
      </c>
      <c r="E240" s="338">
        <f>Table913111726[[#This Row],[Total]]-Table913111726[[#This Row],[FICO630-850]]-Table913111726[[#This Row],[FICO300-629]]</f>
        <v>538065193.00999999</v>
      </c>
      <c r="F240" s="383">
        <v>6758488263.1599998</v>
      </c>
    </row>
    <row r="241" spans="2:7" x14ac:dyDescent="0.2">
      <c r="B241" s="337" t="s">
        <v>262</v>
      </c>
      <c r="C241" s="338"/>
      <c r="D241" s="338"/>
      <c r="E241" s="338">
        <f>Table913111726[[#This Row],[Total]]</f>
        <v>92135415.129999995</v>
      </c>
      <c r="F241" s="383">
        <v>92135415.129999995</v>
      </c>
    </row>
    <row r="242" spans="2:7" x14ac:dyDescent="0.2">
      <c r="B242" s="337" t="s">
        <v>263</v>
      </c>
      <c r="C242" s="338">
        <v>816189950</v>
      </c>
      <c r="D242" s="338">
        <v>1010620653</v>
      </c>
      <c r="E242" s="338">
        <f>Table913111726[[#This Row],[Total]]-Table913111726[[#This Row],[FICO630-850]]-Table913111726[[#This Row],[FICO300-629]]</f>
        <v>497316577</v>
      </c>
      <c r="F242" s="383">
        <f>955403099+26778991+1341945090</f>
        <v>2324127180</v>
      </c>
    </row>
    <row r="243" spans="2:7" x14ac:dyDescent="0.2">
      <c r="B243" s="337" t="s">
        <v>264</v>
      </c>
      <c r="C243" s="338"/>
      <c r="D243" s="338"/>
      <c r="E243" s="338">
        <f>Table913111726[[#This Row],[Total]]</f>
        <v>26385102</v>
      </c>
      <c r="F243" s="383">
        <f>1770112+24614990</f>
        <v>26385102</v>
      </c>
    </row>
    <row r="244" spans="2:7" x14ac:dyDescent="0.2">
      <c r="B244" s="340" t="s">
        <v>265</v>
      </c>
      <c r="C244" s="338"/>
      <c r="D244" s="338"/>
      <c r="E244" s="338">
        <v>50000000</v>
      </c>
      <c r="F244" s="383">
        <f>Table913111726[[#This Row],[Not_Available]]</f>
        <v>50000000</v>
      </c>
    </row>
    <row r="245" spans="2:7" x14ac:dyDescent="0.2">
      <c r="B245" s="343" t="s">
        <v>254</v>
      </c>
      <c r="C245" s="384">
        <f>SUM(C234:C244)</f>
        <v>19866600302.990002</v>
      </c>
      <c r="D245" s="384">
        <f t="shared" ref="D245:F245" si="12">SUM(D234:D244)</f>
        <v>11450999317.16</v>
      </c>
      <c r="E245" s="384">
        <f t="shared" si="12"/>
        <v>6026591773.9300003</v>
      </c>
      <c r="F245" s="385">
        <f t="shared" si="12"/>
        <v>37344191391.079994</v>
      </c>
    </row>
    <row r="246" spans="2:7" ht="13.5" thickBot="1" x14ac:dyDescent="0.25"/>
    <row r="247" spans="2:7" x14ac:dyDescent="0.2">
      <c r="B247" s="348" t="s">
        <v>269</v>
      </c>
      <c r="C247" s="349"/>
      <c r="D247" s="350"/>
      <c r="E247" s="351">
        <f>F245-D245-E234-E239-C240-E240-C241-E241-E243-E244</f>
        <v>23448601371.999992</v>
      </c>
      <c r="F247" s="336" t="s">
        <v>270</v>
      </c>
      <c r="G247" s="347">
        <f>+E247-F242</f>
        <v>21124474191.999992</v>
      </c>
    </row>
    <row r="248" spans="2:7" x14ac:dyDescent="0.2">
      <c r="B248" s="352" t="s">
        <v>271</v>
      </c>
      <c r="C248" s="353"/>
      <c r="D248" s="353"/>
      <c r="E248" s="354">
        <v>119865212950</v>
      </c>
      <c r="G248" s="386">
        <f>+G247/(E248-F242)</f>
        <v>0.17971991711337065</v>
      </c>
    </row>
    <row r="249" spans="2:7" ht="13.5" thickBot="1" x14ac:dyDescent="0.25">
      <c r="B249" s="356" t="s">
        <v>272</v>
      </c>
      <c r="C249" s="357"/>
      <c r="D249" s="357"/>
      <c r="E249" s="358">
        <f>E247/E248</f>
        <v>0.1956247421158066</v>
      </c>
    </row>
    <row r="250" spans="2:7" x14ac:dyDescent="0.2">
      <c r="B250" s="336" t="s">
        <v>273</v>
      </c>
      <c r="C250" s="353"/>
      <c r="E250" s="359">
        <f>F245-D245-E234-E239</f>
        <v>24441220468.129993</v>
      </c>
    </row>
    <row r="251" spans="2:7" x14ac:dyDescent="0.2">
      <c r="B251" s="336" t="s">
        <v>274</v>
      </c>
      <c r="C251" s="353"/>
      <c r="D251" s="353"/>
      <c r="E251" s="360">
        <v>9103244932</v>
      </c>
    </row>
    <row r="252" spans="2:7" x14ac:dyDescent="0.2">
      <c r="B252" s="336" t="s">
        <v>275</v>
      </c>
      <c r="C252" s="353"/>
      <c r="D252" s="353"/>
      <c r="E252" s="353">
        <f>E248+E251</f>
        <v>128968457882</v>
      </c>
    </row>
    <row r="253" spans="2:7" x14ac:dyDescent="0.2">
      <c r="B253" s="336" t="s">
        <v>276</v>
      </c>
      <c r="C253" s="353"/>
      <c r="D253" s="353"/>
      <c r="E253" s="361">
        <f>E250/E252</f>
        <v>0.18951316367985532</v>
      </c>
    </row>
    <row r="255" spans="2:7" x14ac:dyDescent="0.2">
      <c r="B255" s="337" t="s">
        <v>302</v>
      </c>
      <c r="C255" s="387" t="s">
        <v>251</v>
      </c>
      <c r="D255" s="387" t="s">
        <v>252</v>
      </c>
      <c r="E255" s="387" t="s">
        <v>253</v>
      </c>
      <c r="F255" s="387" t="s">
        <v>254</v>
      </c>
    </row>
    <row r="256" spans="2:7" x14ac:dyDescent="0.2">
      <c r="B256" s="337" t="s">
        <v>255</v>
      </c>
      <c r="C256" s="388">
        <v>0</v>
      </c>
      <c r="D256" s="388">
        <v>12017</v>
      </c>
      <c r="E256" s="388">
        <v>1088264782</v>
      </c>
      <c r="F256" s="388">
        <f>SUM(C256:E256)</f>
        <v>1088276799</v>
      </c>
    </row>
    <row r="257" spans="2:7" x14ac:dyDescent="0.2">
      <c r="B257" s="337" t="s">
        <v>256</v>
      </c>
      <c r="C257" s="388">
        <v>5693765814</v>
      </c>
      <c r="D257" s="388">
        <v>1650470854</v>
      </c>
      <c r="E257" s="388">
        <v>819402794</v>
      </c>
      <c r="F257" s="388">
        <v>8163639462.3500004</v>
      </c>
    </row>
    <row r="258" spans="2:7" x14ac:dyDescent="0.2">
      <c r="B258" s="337" t="s">
        <v>257</v>
      </c>
      <c r="C258" s="388">
        <v>13065420131</v>
      </c>
      <c r="D258" s="388">
        <v>3096832573</v>
      </c>
      <c r="E258" s="388">
        <v>2489889340</v>
      </c>
      <c r="F258" s="388">
        <f t="shared" ref="F258:F267" si="13">SUM(C258:E258)</f>
        <v>18652142044</v>
      </c>
    </row>
    <row r="259" spans="2:7" x14ac:dyDescent="0.2">
      <c r="B259" s="337" t="s">
        <v>258</v>
      </c>
      <c r="C259" s="388">
        <v>55908835</v>
      </c>
      <c r="D259" s="388">
        <v>18892797</v>
      </c>
      <c r="E259" s="388">
        <v>2092460</v>
      </c>
      <c r="F259" s="388">
        <f t="shared" si="13"/>
        <v>76894092</v>
      </c>
    </row>
    <row r="260" spans="2:7" x14ac:dyDescent="0.2">
      <c r="B260" s="337" t="s">
        <v>259</v>
      </c>
      <c r="C260" s="388">
        <v>68320564</v>
      </c>
      <c r="D260" s="388">
        <v>108186792</v>
      </c>
      <c r="E260" s="388">
        <v>107713458</v>
      </c>
      <c r="F260" s="388">
        <f t="shared" si="13"/>
        <v>284220814</v>
      </c>
    </row>
    <row r="261" spans="2:7" x14ac:dyDescent="0.2">
      <c r="B261" s="337" t="s">
        <v>260</v>
      </c>
      <c r="C261" s="388"/>
      <c r="D261" s="388"/>
      <c r="E261" s="388">
        <f>F261</f>
        <v>412580005.56</v>
      </c>
      <c r="F261" s="388">
        <v>412580005.56</v>
      </c>
    </row>
    <row r="262" spans="2:7" x14ac:dyDescent="0.2">
      <c r="B262" s="337" t="s">
        <v>261</v>
      </c>
      <c r="C262" s="388">
        <v>292840700.79000002</v>
      </c>
      <c r="D262" s="388">
        <v>6091526134.4499998</v>
      </c>
      <c r="E262" s="388">
        <f>F262-C262-D262</f>
        <v>548102893.84000015</v>
      </c>
      <c r="F262" s="388">
        <v>6932469729.0799999</v>
      </c>
    </row>
    <row r="263" spans="2:7" x14ac:dyDescent="0.2">
      <c r="B263" s="337" t="s">
        <v>262</v>
      </c>
      <c r="C263" s="388">
        <v>66871.03</v>
      </c>
      <c r="D263" s="388"/>
      <c r="E263" s="388">
        <f>Table1327[[#This Row],[Total]]-Table1327[[#This Row],[FICO300-629]]</f>
        <v>90378825.109999999</v>
      </c>
      <c r="F263" s="388">
        <v>90445696.140000001</v>
      </c>
    </row>
    <row r="264" spans="2:7" x14ac:dyDescent="0.2">
      <c r="B264" s="337" t="s">
        <v>263</v>
      </c>
      <c r="C264" s="388">
        <v>904516771</v>
      </c>
      <c r="D264" s="388">
        <v>1033920744</v>
      </c>
      <c r="E264" s="388">
        <f>F264-C264-D264</f>
        <v>510726378.34000015</v>
      </c>
      <c r="F264" s="388">
        <v>2449163893.3400002</v>
      </c>
    </row>
    <row r="265" spans="2:7" x14ac:dyDescent="0.2">
      <c r="B265" s="337" t="s">
        <v>264</v>
      </c>
      <c r="C265" s="388"/>
      <c r="D265" s="388"/>
      <c r="E265" s="388">
        <f>F265</f>
        <v>26941733.190000001</v>
      </c>
      <c r="F265" s="388">
        <v>26941733.190000001</v>
      </c>
    </row>
    <row r="266" spans="2:7" x14ac:dyDescent="0.2">
      <c r="B266" s="337" t="s">
        <v>265</v>
      </c>
      <c r="C266" s="388"/>
      <c r="D266" s="388"/>
      <c r="E266" s="388">
        <f>F266</f>
        <v>50000000</v>
      </c>
      <c r="F266" s="388">
        <v>50000000</v>
      </c>
    </row>
    <row r="267" spans="2:7" x14ac:dyDescent="0.2">
      <c r="B267" s="389" t="s">
        <v>254</v>
      </c>
      <c r="C267" s="390">
        <f>SUM(C256:C266)</f>
        <v>20080839686.82</v>
      </c>
      <c r="D267" s="390">
        <f t="shared" ref="D267:E267" si="14">SUM(D256:D266)</f>
        <v>11999841911.450001</v>
      </c>
      <c r="E267" s="390">
        <f t="shared" si="14"/>
        <v>6146092670.04</v>
      </c>
      <c r="F267" s="390">
        <f t="shared" si="13"/>
        <v>38226774268.309998</v>
      </c>
    </row>
    <row r="268" spans="2:7" ht="13.5" thickBot="1" x14ac:dyDescent="0.25"/>
    <row r="269" spans="2:7" x14ac:dyDescent="0.2">
      <c r="B269" s="348" t="s">
        <v>269</v>
      </c>
      <c r="C269" s="349"/>
      <c r="D269" s="350"/>
      <c r="E269" s="351">
        <f>F267-D267-E256-E261-C262-E262-C263-E263-E265-E266</f>
        <v>23717756545.339996</v>
      </c>
      <c r="F269" s="336" t="s">
        <v>270</v>
      </c>
      <c r="G269" s="347">
        <f>E269-F264</f>
        <v>21268592651.999996</v>
      </c>
    </row>
    <row r="270" spans="2:7" x14ac:dyDescent="0.2">
      <c r="B270" s="352" t="s">
        <v>271</v>
      </c>
      <c r="C270" s="353"/>
      <c r="D270" s="353"/>
      <c r="E270" s="354">
        <v>120816929984</v>
      </c>
      <c r="G270" s="355">
        <f>G269/(E270-F264)</f>
        <v>0.1796823016471393</v>
      </c>
    </row>
    <row r="271" spans="2:7" ht="13.5" thickBot="1" x14ac:dyDescent="0.25">
      <c r="B271" s="356" t="s">
        <v>272</v>
      </c>
      <c r="C271" s="357"/>
      <c r="D271" s="357"/>
      <c r="E271" s="358">
        <f>E269/E270</f>
        <v>0.19631153140938923</v>
      </c>
      <c r="G271" s="391"/>
    </row>
    <row r="272" spans="2:7" x14ac:dyDescent="0.2">
      <c r="B272" s="336" t="s">
        <v>273</v>
      </c>
      <c r="C272" s="353"/>
      <c r="E272" s="359">
        <f>F267-D267-E256-E261</f>
        <v>24726087569.299995</v>
      </c>
      <c r="G272" s="391"/>
    </row>
    <row r="273" spans="2:6" x14ac:dyDescent="0.2">
      <c r="B273" s="336" t="s">
        <v>274</v>
      </c>
      <c r="C273" s="353"/>
      <c r="D273" s="353"/>
      <c r="E273" s="360">
        <v>9237797513</v>
      </c>
    </row>
    <row r="274" spans="2:6" x14ac:dyDescent="0.2">
      <c r="B274" s="336" t="s">
        <v>275</v>
      </c>
      <c r="C274" s="353"/>
      <c r="D274" s="353"/>
      <c r="E274" s="353">
        <f>E270+E273</f>
        <v>130054727497</v>
      </c>
    </row>
    <row r="275" spans="2:6" x14ac:dyDescent="0.2">
      <c r="B275" s="336" t="s">
        <v>276</v>
      </c>
      <c r="C275" s="353"/>
      <c r="D275" s="353"/>
      <c r="E275" s="361">
        <f>E272/E274</f>
        <v>0.19012063648259428</v>
      </c>
    </row>
    <row r="277" spans="2:6" x14ac:dyDescent="0.2">
      <c r="B277" s="392" t="s">
        <v>250</v>
      </c>
      <c r="C277" s="392" t="s">
        <v>251</v>
      </c>
      <c r="D277" s="392" t="s">
        <v>252</v>
      </c>
      <c r="E277" s="392" t="s">
        <v>253</v>
      </c>
      <c r="F277" s="392" t="s">
        <v>254</v>
      </c>
    </row>
    <row r="278" spans="2:6" x14ac:dyDescent="0.2">
      <c r="B278" s="393" t="s">
        <v>255</v>
      </c>
      <c r="C278" s="363">
        <v>0</v>
      </c>
      <c r="D278" s="363">
        <v>11448</v>
      </c>
      <c r="E278" s="363">
        <v>1135283255</v>
      </c>
      <c r="F278" s="363">
        <v>1135294703</v>
      </c>
    </row>
    <row r="279" spans="2:6" x14ac:dyDescent="0.2">
      <c r="B279" s="394" t="s">
        <v>256</v>
      </c>
      <c r="C279" s="338">
        <v>5751609709</v>
      </c>
      <c r="D279" s="338">
        <v>1862769695</v>
      </c>
      <c r="E279" s="338">
        <v>809323914</v>
      </c>
      <c r="F279" s="338">
        <v>8423703318</v>
      </c>
    </row>
    <row r="280" spans="2:6" x14ac:dyDescent="0.2">
      <c r="B280" s="393" t="s">
        <v>257</v>
      </c>
      <c r="C280" s="363">
        <v>13132133238</v>
      </c>
      <c r="D280" s="363">
        <v>3092294416</v>
      </c>
      <c r="E280" s="363">
        <v>2512816882</v>
      </c>
      <c r="F280" s="363">
        <v>18737244536</v>
      </c>
    </row>
    <row r="281" spans="2:6" x14ac:dyDescent="0.2">
      <c r="B281" s="394" t="s">
        <v>258</v>
      </c>
      <c r="C281" s="338">
        <v>50217876</v>
      </c>
      <c r="D281" s="338">
        <v>16909438</v>
      </c>
      <c r="E281" s="338">
        <v>1883493</v>
      </c>
      <c r="F281" s="338">
        <v>69010808</v>
      </c>
    </row>
    <row r="282" spans="2:6" x14ac:dyDescent="0.2">
      <c r="B282" s="395" t="s">
        <v>259</v>
      </c>
      <c r="C282" s="362">
        <v>67354984</v>
      </c>
      <c r="D282" s="362">
        <v>106346780</v>
      </c>
      <c r="E282" s="362">
        <v>105403938</v>
      </c>
      <c r="F282" s="362">
        <v>279105701</v>
      </c>
    </row>
    <row r="283" spans="2:6" x14ac:dyDescent="0.2">
      <c r="B283" s="394" t="s">
        <v>260</v>
      </c>
      <c r="C283" s="338"/>
      <c r="D283" s="338"/>
      <c r="E283" s="338">
        <v>421514399.19999999</v>
      </c>
      <c r="F283" s="338">
        <v>421514399.19999999</v>
      </c>
    </row>
    <row r="284" spans="2:6" x14ac:dyDescent="0.2">
      <c r="B284" s="393" t="s">
        <v>261</v>
      </c>
      <c r="C284" s="363">
        <v>301773533.44999999</v>
      </c>
      <c r="D284" s="363">
        <v>6320583253.3500004</v>
      </c>
      <c r="E284" s="363">
        <v>562068512.54999995</v>
      </c>
      <c r="F284" s="363">
        <v>7184425299.3500004</v>
      </c>
    </row>
    <row r="285" spans="2:6" x14ac:dyDescent="0.2">
      <c r="B285" s="394" t="s">
        <v>262</v>
      </c>
      <c r="C285" s="338">
        <v>65035.59</v>
      </c>
      <c r="D285" s="338">
        <v>51810145.310000002</v>
      </c>
      <c r="E285" s="338">
        <v>25723619.879999999</v>
      </c>
      <c r="F285" s="338">
        <v>77598800.780000001</v>
      </c>
    </row>
    <row r="286" spans="2:6" x14ac:dyDescent="0.2">
      <c r="B286" s="393" t="s">
        <v>263</v>
      </c>
      <c r="C286" s="363">
        <v>885876547.04999995</v>
      </c>
      <c r="D286" s="363">
        <v>1000220952.9400001</v>
      </c>
      <c r="E286" s="363">
        <v>478595679.36999965</v>
      </c>
      <c r="F286" s="363">
        <v>2364693179.3599997</v>
      </c>
    </row>
    <row r="287" spans="2:6" x14ac:dyDescent="0.2">
      <c r="B287" s="396" t="s">
        <v>264</v>
      </c>
      <c r="C287" s="364"/>
      <c r="D287" s="364"/>
      <c r="E287" s="365">
        <v>26496532.849999998</v>
      </c>
      <c r="F287" s="364">
        <v>26496532.849999998</v>
      </c>
    </row>
    <row r="288" spans="2:6" x14ac:dyDescent="0.2">
      <c r="B288" s="395" t="s">
        <v>265</v>
      </c>
      <c r="C288" s="362"/>
      <c r="D288" s="362"/>
      <c r="E288" s="366">
        <v>50000000</v>
      </c>
      <c r="F288" s="362">
        <v>50000000</v>
      </c>
    </row>
    <row r="289" spans="2:7" x14ac:dyDescent="0.2">
      <c r="B289" s="397" t="s">
        <v>266</v>
      </c>
      <c r="C289" s="384">
        <f>SUM(C278:C288)</f>
        <v>20189030923.09</v>
      </c>
      <c r="D289" s="384">
        <f t="shared" ref="D289:F289" si="15">SUM(D278:D288)</f>
        <v>12450946128.6</v>
      </c>
      <c r="E289" s="384">
        <f t="shared" si="15"/>
        <v>6129110225.8500004</v>
      </c>
      <c r="F289" s="384">
        <f t="shared" si="15"/>
        <v>38769087277.540001</v>
      </c>
    </row>
    <row r="290" spans="2:7" ht="13.5" thickBot="1" x14ac:dyDescent="0.25"/>
    <row r="291" spans="2:7" x14ac:dyDescent="0.2">
      <c r="B291" s="348" t="s">
        <v>269</v>
      </c>
      <c r="C291" s="349"/>
      <c r="D291" s="350"/>
      <c r="E291" s="351">
        <f>F289-D289-E278-E283-C284-E284-C285-E285-E287-E288</f>
        <v>23795216260.420002</v>
      </c>
      <c r="F291" s="336" t="s">
        <v>270</v>
      </c>
      <c r="G291" s="347">
        <f>E291-F286</f>
        <v>21430523081.060001</v>
      </c>
    </row>
    <row r="292" spans="2:7" x14ac:dyDescent="0.2">
      <c r="B292" s="352" t="s">
        <v>271</v>
      </c>
      <c r="C292" s="353"/>
      <c r="D292" s="353"/>
      <c r="E292" s="354">
        <v>121201332165</v>
      </c>
      <c r="G292" s="355">
        <f>G291/(E292-F286)</f>
        <v>0.18033599118912835</v>
      </c>
    </row>
    <row r="293" spans="2:7" ht="13.5" thickBot="1" x14ac:dyDescent="0.25">
      <c r="B293" s="356" t="s">
        <v>272</v>
      </c>
      <c r="C293" s="357"/>
      <c r="D293" s="357"/>
      <c r="E293" s="358">
        <f>E291/E292</f>
        <v>0.19632800923364341</v>
      </c>
    </row>
    <row r="294" spans="2:7" x14ac:dyDescent="0.2">
      <c r="B294" s="336" t="s">
        <v>273</v>
      </c>
      <c r="C294" s="353"/>
      <c r="E294" s="359">
        <f>F289-D289-E278-E283</f>
        <v>24761343494.740002</v>
      </c>
    </row>
    <row r="295" spans="2:7" x14ac:dyDescent="0.2">
      <c r="B295" s="336" t="s">
        <v>274</v>
      </c>
      <c r="C295" s="353"/>
      <c r="D295" s="353"/>
      <c r="E295" s="360">
        <v>9450130928</v>
      </c>
    </row>
    <row r="296" spans="2:7" x14ac:dyDescent="0.2">
      <c r="B296" s="336" t="s">
        <v>275</v>
      </c>
      <c r="C296" s="353"/>
      <c r="D296" s="353"/>
      <c r="E296" s="353">
        <f>E292+E295</f>
        <v>130651463093</v>
      </c>
    </row>
    <row r="297" spans="2:7" x14ac:dyDescent="0.2">
      <c r="B297" s="336" t="s">
        <v>276</v>
      </c>
      <c r="C297" s="353"/>
      <c r="D297" s="353"/>
      <c r="E297" s="361">
        <f>E294/E296</f>
        <v>0.18952212940098837</v>
      </c>
    </row>
    <row r="299" spans="2:7" x14ac:dyDescent="0.2">
      <c r="B299" s="333" t="s">
        <v>267</v>
      </c>
      <c r="C299" s="334" t="s">
        <v>251</v>
      </c>
      <c r="D299" s="334" t="s">
        <v>252</v>
      </c>
      <c r="E299" s="334" t="s">
        <v>253</v>
      </c>
      <c r="F299" s="335" t="s">
        <v>254</v>
      </c>
    </row>
    <row r="300" spans="2:7" x14ac:dyDescent="0.2">
      <c r="B300" s="337" t="s">
        <v>255</v>
      </c>
      <c r="C300" s="338">
        <v>0</v>
      </c>
      <c r="D300" s="338">
        <v>10880</v>
      </c>
      <c r="E300" s="338">
        <v>1150579978</v>
      </c>
      <c r="F300" s="339">
        <f>SUM(Table2152[[#This Row],[FICO300-629]:[Not_Available]])</f>
        <v>1150590858</v>
      </c>
    </row>
    <row r="301" spans="2:7" x14ac:dyDescent="0.2">
      <c r="B301" s="337" t="s">
        <v>256</v>
      </c>
      <c r="C301" s="338">
        <v>5760725758</v>
      </c>
      <c r="D301" s="338">
        <v>1987550331</v>
      </c>
      <c r="E301" s="338">
        <v>802639109</v>
      </c>
      <c r="F301" s="339">
        <f>SUM(Table2152[[#This Row],[FICO300-629]:[Not_Available]])</f>
        <v>8550915198</v>
      </c>
    </row>
    <row r="302" spans="2:7" x14ac:dyDescent="0.2">
      <c r="B302" s="337" t="s">
        <v>257</v>
      </c>
      <c r="C302" s="338">
        <v>13255380228</v>
      </c>
      <c r="D302" s="338">
        <v>3071559957</v>
      </c>
      <c r="E302" s="338">
        <v>2583374425</v>
      </c>
      <c r="F302" s="339">
        <f>SUM(Table2152[[#This Row],[FICO300-629]:[Not_Available]])</f>
        <v>18910314610</v>
      </c>
    </row>
    <row r="303" spans="2:7" x14ac:dyDescent="0.2">
      <c r="B303" s="337" t="s">
        <v>258</v>
      </c>
      <c r="C303" s="338">
        <v>42985036</v>
      </c>
      <c r="D303" s="338">
        <v>14398288</v>
      </c>
      <c r="E303" s="338">
        <v>1700570</v>
      </c>
      <c r="F303" s="339">
        <f>SUM(Table2152[[#This Row],[FICO300-629]:[Not_Available]])</f>
        <v>59083894</v>
      </c>
    </row>
    <row r="304" spans="2:7" x14ac:dyDescent="0.2">
      <c r="B304" s="340" t="s">
        <v>259</v>
      </c>
      <c r="C304" s="341">
        <v>66100100</v>
      </c>
      <c r="D304" s="341">
        <v>104459144</v>
      </c>
      <c r="E304" s="341">
        <v>102324603</v>
      </c>
      <c r="F304" s="339">
        <f>SUM(Table2152[[#This Row],[FICO300-629]:[Not_Available]])</f>
        <v>272883847</v>
      </c>
    </row>
    <row r="305" spans="2:7" x14ac:dyDescent="0.2">
      <c r="B305" s="337" t="s">
        <v>260</v>
      </c>
      <c r="C305" s="338"/>
      <c r="D305" s="338"/>
      <c r="E305" s="338">
        <v>428653081.81</v>
      </c>
      <c r="F305" s="339">
        <v>428653081.81</v>
      </c>
    </row>
    <row r="306" spans="2:7" x14ac:dyDescent="0.2">
      <c r="B306" s="337" t="s">
        <v>261</v>
      </c>
      <c r="C306" s="338">
        <v>279617473.29000002</v>
      </c>
      <c r="D306" s="338">
        <v>5997020069.8999996</v>
      </c>
      <c r="E306" s="398">
        <f>Table2152[[#This Row],[Total]]-Table2152[[#This Row],[FICO630-850]]-Table2152[[#This Row],[FICO300-629]]</f>
        <v>1200516941.2700005</v>
      </c>
      <c r="F306" s="339">
        <v>7477154484.46</v>
      </c>
    </row>
    <row r="307" spans="2:7" x14ac:dyDescent="0.2">
      <c r="B307" s="337" t="s">
        <v>262</v>
      </c>
      <c r="C307" s="338">
        <v>63200.14</v>
      </c>
      <c r="D307" s="338"/>
      <c r="E307" s="338">
        <f>Table2152[[#This Row],[Total]]-Table2152[[#This Row],[FICO300-629]]</f>
        <v>56726234.32</v>
      </c>
      <c r="F307" s="339">
        <v>56789434.460000001</v>
      </c>
    </row>
    <row r="308" spans="2:7" x14ac:dyDescent="0.2">
      <c r="B308" s="337" t="s">
        <v>263</v>
      </c>
      <c r="C308" s="338">
        <v>848568679</v>
      </c>
      <c r="D308" s="338">
        <v>457657008</v>
      </c>
      <c r="E308" s="338">
        <f>Table2152[[#This Row],[Total]]-Table2152[[#This Row],[FICO630-850]]-Table2152[[#This Row],[FICO300-629]]</f>
        <v>130572974.31999993</v>
      </c>
      <c r="F308" s="339">
        <v>1436798661.3199999</v>
      </c>
    </row>
    <row r="309" spans="2:7" x14ac:dyDescent="0.2">
      <c r="B309" s="340" t="s">
        <v>264</v>
      </c>
      <c r="C309" s="341"/>
      <c r="D309" s="341"/>
      <c r="E309" s="342">
        <v>26224639.82</v>
      </c>
      <c r="F309" s="342">
        <f>Table2152[[#This Row],[Not_Available]]</f>
        <v>26224639.82</v>
      </c>
    </row>
    <row r="310" spans="2:7" x14ac:dyDescent="0.2">
      <c r="B310" s="340" t="s">
        <v>265</v>
      </c>
      <c r="C310" s="341"/>
      <c r="D310" s="341"/>
      <c r="E310" s="342">
        <f>Table2152[[#This Row],[Total]]</f>
        <v>50000000</v>
      </c>
      <c r="F310" s="342">
        <v>50000000</v>
      </c>
    </row>
    <row r="311" spans="2:7" x14ac:dyDescent="0.2">
      <c r="B311" s="343" t="s">
        <v>266</v>
      </c>
      <c r="C311" s="344">
        <f>SUM(C300:C310)</f>
        <v>20253440474.43</v>
      </c>
      <c r="D311" s="344">
        <f t="shared" ref="D311:F311" si="16">SUM(D300:D310)</f>
        <v>11632655677.9</v>
      </c>
      <c r="E311" s="344">
        <f t="shared" si="16"/>
        <v>6533312556.54</v>
      </c>
      <c r="F311" s="344">
        <f t="shared" si="16"/>
        <v>38419408708.870003</v>
      </c>
    </row>
    <row r="312" spans="2:7" ht="13.5" thickBot="1" x14ac:dyDescent="0.25"/>
    <row r="313" spans="2:7" x14ac:dyDescent="0.2">
      <c r="B313" s="348" t="s">
        <v>269</v>
      </c>
      <c r="C313" s="349"/>
      <c r="D313" s="350"/>
      <c r="E313" s="351">
        <f>F311-D311-E300-E305-C306-E306-C307-E307-E309-E310</f>
        <v>23594371482.32</v>
      </c>
      <c r="F313" s="336" t="s">
        <v>270</v>
      </c>
      <c r="G313" s="347">
        <f>E313-F308</f>
        <v>22157572821</v>
      </c>
    </row>
    <row r="314" spans="2:7" x14ac:dyDescent="0.2">
      <c r="B314" s="352" t="s">
        <v>271</v>
      </c>
      <c r="C314" s="353"/>
      <c r="D314" s="353"/>
      <c r="E314" s="354">
        <v>120259894892</v>
      </c>
      <c r="G314" s="355">
        <f>G313/(E314-F308)</f>
        <v>0.18647530256225506</v>
      </c>
    </row>
    <row r="315" spans="2:7" ht="13.5" thickBot="1" x14ac:dyDescent="0.25">
      <c r="B315" s="356" t="s">
        <v>272</v>
      </c>
      <c r="C315" s="357"/>
      <c r="D315" s="357"/>
      <c r="E315" s="358">
        <f>E313/E314</f>
        <v>0.19619484536810083</v>
      </c>
    </row>
    <row r="316" spans="2:7" x14ac:dyDescent="0.2">
      <c r="B316" s="336" t="s">
        <v>273</v>
      </c>
      <c r="C316" s="353"/>
      <c r="E316" s="359">
        <f>F311-D311-E300-E305</f>
        <v>25207519971.16</v>
      </c>
    </row>
    <row r="317" spans="2:7" x14ac:dyDescent="0.2">
      <c r="B317" s="336" t="s">
        <v>274</v>
      </c>
      <c r="C317" s="353"/>
      <c r="D317" s="353"/>
      <c r="E317" s="360">
        <v>9674877911</v>
      </c>
    </row>
    <row r="318" spans="2:7" x14ac:dyDescent="0.2">
      <c r="B318" s="336" t="s">
        <v>275</v>
      </c>
      <c r="C318" s="353"/>
      <c r="D318" s="353"/>
      <c r="E318" s="353">
        <f>E314+E317</f>
        <v>129934772803</v>
      </c>
    </row>
    <row r="319" spans="2:7" x14ac:dyDescent="0.2">
      <c r="B319" s="336" t="s">
        <v>276</v>
      </c>
      <c r="C319" s="353"/>
      <c r="D319" s="353"/>
      <c r="E319" s="361">
        <f>E316/E318</f>
        <v>0.19400133949807466</v>
      </c>
    </row>
    <row r="321" spans="2:20" x14ac:dyDescent="0.2">
      <c r="B321" s="399" t="s">
        <v>303</v>
      </c>
      <c r="J321" s="400" t="s">
        <v>304</v>
      </c>
      <c r="O321" s="400" t="s">
        <v>305</v>
      </c>
    </row>
    <row r="322" spans="2:20" x14ac:dyDescent="0.2">
      <c r="B322" s="400" t="s">
        <v>306</v>
      </c>
      <c r="J322" s="401">
        <v>42401</v>
      </c>
      <c r="K322" s="401">
        <v>42430</v>
      </c>
      <c r="L322" s="401">
        <v>42461</v>
      </c>
      <c r="M322" s="401">
        <v>42491</v>
      </c>
      <c r="N322" s="401">
        <v>42522</v>
      </c>
      <c r="O322" s="401">
        <v>42552</v>
      </c>
      <c r="P322" s="401">
        <v>42583</v>
      </c>
      <c r="Q322" s="401">
        <v>42614</v>
      </c>
      <c r="R322" s="401">
        <v>42644</v>
      </c>
      <c r="S322" s="401">
        <v>42675</v>
      </c>
      <c r="T322" s="401">
        <v>42705</v>
      </c>
    </row>
    <row r="323" spans="2:20" ht="13.5" thickBot="1" x14ac:dyDescent="0.25">
      <c r="I323" s="336" t="s">
        <v>307</v>
      </c>
      <c r="J323" s="402">
        <f>E314/1000000000</f>
        <v>120.25989489200001</v>
      </c>
      <c r="K323" s="402">
        <f>J323-2.759</f>
        <v>117.50089489200001</v>
      </c>
      <c r="L323" s="402">
        <f>K323</f>
        <v>117.50089489200001</v>
      </c>
      <c r="M323" s="402">
        <f>L323-3.679</f>
        <v>113.821894892</v>
      </c>
      <c r="N323" s="402">
        <f>M323-0.662</f>
        <v>113.159894892</v>
      </c>
      <c r="O323" s="402">
        <f>N323+4+4</f>
        <v>121.159894892</v>
      </c>
      <c r="P323" s="402">
        <f>O323</f>
        <v>121.159894892</v>
      </c>
      <c r="Q323" s="402">
        <f>P323</f>
        <v>121.159894892</v>
      </c>
      <c r="R323" s="402">
        <f>Q323</f>
        <v>121.159894892</v>
      </c>
      <c r="S323" s="402">
        <f t="shared" ref="S323:T323" si="17">R323</f>
        <v>121.159894892</v>
      </c>
      <c r="T323" s="402">
        <f t="shared" si="17"/>
        <v>121.159894892</v>
      </c>
    </row>
    <row r="324" spans="2:20" x14ac:dyDescent="0.2">
      <c r="B324" s="348" t="s">
        <v>269</v>
      </c>
      <c r="C324" s="349"/>
      <c r="D324" s="350"/>
      <c r="E324" s="351">
        <f>$F$311-$D$311-$E$300-$E$305-$C$306-$E$306-$C$307-$E$307-$E$309-$E$310</f>
        <v>23594371482.32</v>
      </c>
      <c r="F324" s="336" t="s">
        <v>270</v>
      </c>
      <c r="G324" s="347">
        <f>$E$324-$F$308</f>
        <v>22157572821</v>
      </c>
      <c r="I324" s="336" t="s">
        <v>308</v>
      </c>
      <c r="J324" s="403">
        <f>AVERAGE($E$316,$E$294,$E$272,$E$250,$E$228,$E$206,$E$184,$E$162,$E$140,$E$118,$E$96,$E$74)/1000000000</f>
        <v>24.340243481420167</v>
      </c>
      <c r="K324" s="403">
        <f>AVERAGE(($J$324*1000000000),$E$316,$E$294,$E$272,$E$250,$E$228,$E$206,$E$184,$E$162,$E$140,$E$118,$E$96)/1000000000</f>
        <v>24.462601719193515</v>
      </c>
      <c r="L324" s="403">
        <f>AVERAGE(($J$324*1000000000),($K$324*1000000000),$E$316,$E$294,$E$272,$E$250,$E$228,$E$206,$E$184,$E$162,$E$140,$E$118)/1000000000</f>
        <v>24.539878433885892</v>
      </c>
      <c r="M324" s="403">
        <f>AVERAGE(($J$324*1000000000),($K$324*1000000000), ($L$324*1000000000),$E$316,$E$294,$E$272,$E$250,$E$228,$E$206,$E$184,$E$162,$E$140)/1000000000</f>
        <v>24.58073537995638</v>
      </c>
      <c r="N324" s="403">
        <f>AVERAGE(($J$324*1000000000),($K$324*1000000000), ($L$324*1000000000),($M$324*1000000000),$E$316,$E$294,$E$272,$E$250,$E$228,$E$206,$E$184,$E$162)/1000000000</f>
        <v>24.588958282034497</v>
      </c>
      <c r="O324" s="403">
        <f>AVERAGE(($J$324*1000000000),($K$324*1000000000), ($L$324*1000000000),($M$324*1000000000), ($N$324*1000000000),$E$316,$E$294,$E$272,$E$250,$E$228,$E$206,$E$184)/1000000000</f>
        <v>24.600137240229781</v>
      </c>
      <c r="P324" s="403">
        <f>AVERAGE(($J$324*1000000000),($K$324*1000000000), ($L$324*1000000000),($M$324*1000000000), ($N$324*1000000000), ($O$324*1000000000),$E$316,$E$294,$E$272,$E$250,$E$228,$E$206)/1000000000</f>
        <v>24.582852768406354</v>
      </c>
      <c r="Q324" s="403">
        <f>AVERAGE(($J$324*1000000000),($K$324*1000000000), ($L$324*1000000000),($M$324*1000000000), ($N$324*1000000000), ($O$324*1000000000), ($P$324*1000000000),$E$316,$E$294,$E$272,$E$250,$E$228)/1000000000</f>
        <v>24.601959499498125</v>
      </c>
      <c r="R324" s="403">
        <f>AVERAGE(($J$324*1000000000),($K$324*1000000000), ($L$324*1000000000),($M$324*1000000000), ($N$324*1000000000), ($O$324*1000000000), ($P$324*1000000000), ($Q$324*1000000000),$E$316,$E$294,$E$272,$E$250)/1000000000</f>
        <v>24.619461525662889</v>
      </c>
      <c r="S324" s="403">
        <f>AVERAGE(($J$324*1000000000),($K$324*1000000000), ($L$324*1000000000),($M$324*1000000000), ($N$324*1000000000), ($O$324*1000000000), ($P$324*1000000000), ($Q$324*1000000000), ($R$324*1000000000),$E$316,$E$294,$E$272)/1000000000</f>
        <v>24.634314947123965</v>
      </c>
      <c r="T324" s="403">
        <f>AVERAGE(($J$324*1000000000),($K$324*1000000000), ($L$324*1000000000),($M$324*1000000000), ($N$324*1000000000), ($O$324*1000000000), ($P$324*1000000000), ($Q$324*1000000000), ($R$324*1000000000), ($S$324*1000000000),$E$316,$E$294)/1000000000</f>
        <v>24.6266672286093</v>
      </c>
    </row>
    <row r="325" spans="2:20" x14ac:dyDescent="0.2">
      <c r="B325" s="352" t="s">
        <v>271</v>
      </c>
      <c r="C325" s="353"/>
      <c r="D325" s="353"/>
      <c r="E325" s="354">
        <f>120259894892-3900000000-4100000000</f>
        <v>112259894892</v>
      </c>
      <c r="G325" s="355">
        <f>$G$324/($E$325-$F$308)</f>
        <v>0.19993641735905546</v>
      </c>
      <c r="I325" s="336" t="s">
        <v>309</v>
      </c>
      <c r="J325" s="404">
        <v>0.3</v>
      </c>
      <c r="K325" s="403">
        <f>J325</f>
        <v>0.3</v>
      </c>
      <c r="L325" s="403">
        <f t="shared" ref="L325:T326" si="18">K325</f>
        <v>0.3</v>
      </c>
      <c r="M325" s="403">
        <f t="shared" si="18"/>
        <v>0.3</v>
      </c>
      <c r="N325" s="403">
        <f t="shared" si="18"/>
        <v>0.3</v>
      </c>
      <c r="O325" s="403">
        <f t="shared" si="18"/>
        <v>0.3</v>
      </c>
      <c r="P325" s="403">
        <f t="shared" si="18"/>
        <v>0.3</v>
      </c>
      <c r="Q325" s="403">
        <f t="shared" si="18"/>
        <v>0.3</v>
      </c>
      <c r="R325" s="403">
        <f t="shared" si="18"/>
        <v>0.3</v>
      </c>
      <c r="S325" s="403">
        <f t="shared" si="18"/>
        <v>0.3</v>
      </c>
      <c r="T325" s="403">
        <f t="shared" si="18"/>
        <v>0.3</v>
      </c>
    </row>
    <row r="326" spans="2:20" ht="13.5" thickBot="1" x14ac:dyDescent="0.25">
      <c r="B326" s="356" t="s">
        <v>272</v>
      </c>
      <c r="C326" s="357"/>
      <c r="D326" s="357"/>
      <c r="E326" s="358">
        <f>E324/E325</f>
        <v>0.21017631902309405</v>
      </c>
      <c r="I326" s="336" t="s">
        <v>310</v>
      </c>
      <c r="J326" s="404"/>
      <c r="K326" s="403"/>
      <c r="L326" s="403"/>
      <c r="M326" s="403"/>
      <c r="N326" s="403"/>
      <c r="O326" s="405">
        <v>0.5</v>
      </c>
      <c r="P326" s="403">
        <f t="shared" si="18"/>
        <v>0.5</v>
      </c>
      <c r="Q326" s="403">
        <f t="shared" si="18"/>
        <v>0.5</v>
      </c>
      <c r="R326" s="403">
        <f t="shared" si="18"/>
        <v>0.5</v>
      </c>
      <c r="S326" s="403">
        <f t="shared" si="18"/>
        <v>0.5</v>
      </c>
      <c r="T326" s="403">
        <f t="shared" si="18"/>
        <v>0.5</v>
      </c>
    </row>
    <row r="327" spans="2:20" x14ac:dyDescent="0.2">
      <c r="B327" s="336" t="s">
        <v>273</v>
      </c>
      <c r="C327" s="353"/>
      <c r="E327" s="359">
        <f>$F$311-$D$311-$E$300-$E$305</f>
        <v>25207519971.16</v>
      </c>
    </row>
    <row r="328" spans="2:20" x14ac:dyDescent="0.2">
      <c r="B328" s="336" t="s">
        <v>274</v>
      </c>
      <c r="C328" s="353"/>
      <c r="D328" s="353"/>
      <c r="E328" s="360">
        <v>9674877911</v>
      </c>
      <c r="I328" s="336" t="s">
        <v>311</v>
      </c>
      <c r="J328" s="406">
        <f>J324/J323</f>
        <v>0.20239701276372346</v>
      </c>
      <c r="K328" s="406">
        <f t="shared" ref="K328:T328" si="19">K324/K323</f>
        <v>0.20819076945480386</v>
      </c>
      <c r="L328" s="406">
        <f t="shared" si="19"/>
        <v>0.20884843861352309</v>
      </c>
      <c r="M328" s="406">
        <f t="shared" si="19"/>
        <v>0.21595788229742469</v>
      </c>
      <c r="N328" s="406">
        <f t="shared" si="19"/>
        <v>0.21729393002266609</v>
      </c>
      <c r="O328" s="406">
        <f t="shared" si="19"/>
        <v>0.20303861489941</v>
      </c>
      <c r="P328" s="406">
        <f t="shared" si="19"/>
        <v>0.20289595654006731</v>
      </c>
      <c r="Q328" s="406">
        <f t="shared" si="19"/>
        <v>0.20305365501866704</v>
      </c>
      <c r="R328" s="406">
        <f t="shared" si="19"/>
        <v>0.20319810897498949</v>
      </c>
      <c r="S328" s="406">
        <f t="shared" si="19"/>
        <v>0.20332070252357515</v>
      </c>
      <c r="T328" s="406">
        <f t="shared" si="19"/>
        <v>0.20325758164911845</v>
      </c>
    </row>
    <row r="329" spans="2:20" x14ac:dyDescent="0.2">
      <c r="B329" s="336" t="s">
        <v>275</v>
      </c>
      <c r="C329" s="353"/>
      <c r="D329" s="353"/>
      <c r="E329" s="353">
        <f>$E$325+$E$328</f>
        <v>121934772803</v>
      </c>
      <c r="I329" s="336" t="s">
        <v>312</v>
      </c>
      <c r="J329" s="406">
        <f>SUM(J324:J326)/J323</f>
        <v>0.20489160998808839</v>
      </c>
      <c r="K329" s="406">
        <f t="shared" ref="K329:T329" si="20">SUM(K324:K326)/K323</f>
        <v>0.21074394149894654</v>
      </c>
      <c r="L329" s="406">
        <f t="shared" si="20"/>
        <v>0.21140161065766577</v>
      </c>
      <c r="M329" s="406">
        <f t="shared" si="20"/>
        <v>0.21859357906108035</v>
      </c>
      <c r="N329" s="406">
        <f t="shared" si="20"/>
        <v>0.21994504595279593</v>
      </c>
      <c r="O329" s="406">
        <f t="shared" si="20"/>
        <v>0.20964145984833563</v>
      </c>
      <c r="P329" s="406">
        <f t="shared" si="20"/>
        <v>0.20949880148899291</v>
      </c>
      <c r="Q329" s="406">
        <f t="shared" si="20"/>
        <v>0.20965649996759264</v>
      </c>
      <c r="R329" s="406">
        <f t="shared" si="20"/>
        <v>0.20980095392391512</v>
      </c>
      <c r="S329" s="406">
        <f t="shared" si="20"/>
        <v>0.20992354747250078</v>
      </c>
      <c r="T329" s="406">
        <f t="shared" si="20"/>
        <v>0.20986042659804408</v>
      </c>
    </row>
    <row r="330" spans="2:20" x14ac:dyDescent="0.2">
      <c r="B330" s="336" t="s">
        <v>276</v>
      </c>
      <c r="C330" s="353"/>
      <c r="D330" s="353"/>
      <c r="E330" s="407">
        <f>$E$327/$E$329</f>
        <v>0.20672954393317911</v>
      </c>
      <c r="I330" s="336" t="s">
        <v>46</v>
      </c>
      <c r="J330" s="408">
        <v>0.23</v>
      </c>
      <c r="K330" s="408">
        <v>0.23</v>
      </c>
      <c r="L330" s="408">
        <v>0.23</v>
      </c>
      <c r="M330" s="408">
        <v>0.23</v>
      </c>
      <c r="N330" s="408">
        <v>0.23</v>
      </c>
      <c r="O330" s="408">
        <v>0.23</v>
      </c>
      <c r="P330" s="408">
        <v>0.23</v>
      </c>
      <c r="Q330" s="408">
        <v>0.23</v>
      </c>
      <c r="R330" s="408">
        <v>0.23</v>
      </c>
      <c r="S330" s="408">
        <v>0.23</v>
      </c>
      <c r="T330" s="408">
        <v>0.23</v>
      </c>
    </row>
    <row r="331" spans="2:20" x14ac:dyDescent="0.2">
      <c r="C331" s="353"/>
      <c r="D331" s="353"/>
      <c r="E331" s="407"/>
      <c r="I331" s="336" t="s">
        <v>47</v>
      </c>
      <c r="J331" s="408">
        <v>0.25</v>
      </c>
      <c r="K331" s="408">
        <v>0.25</v>
      </c>
      <c r="L331" s="408">
        <v>0.25</v>
      </c>
      <c r="M331" s="408">
        <v>0.25</v>
      </c>
      <c r="N331" s="408">
        <v>0.25</v>
      </c>
      <c r="O331" s="408">
        <v>0.25</v>
      </c>
      <c r="P331" s="408">
        <v>0.25</v>
      </c>
      <c r="Q331" s="408">
        <v>0.25</v>
      </c>
      <c r="R331" s="408">
        <v>0.25</v>
      </c>
      <c r="S331" s="408">
        <v>0.25</v>
      </c>
      <c r="T331" s="408">
        <v>0.25</v>
      </c>
    </row>
    <row r="332" spans="2:20" x14ac:dyDescent="0.2">
      <c r="C332" s="353"/>
      <c r="D332" s="353"/>
      <c r="E332" s="407"/>
    </row>
    <row r="333" spans="2:20" x14ac:dyDescent="0.2">
      <c r="B333" s="333" t="s">
        <v>268</v>
      </c>
      <c r="C333" s="334" t="s">
        <v>251</v>
      </c>
      <c r="D333" s="334" t="s">
        <v>252</v>
      </c>
      <c r="E333" s="334" t="s">
        <v>253</v>
      </c>
      <c r="F333" s="335" t="s">
        <v>254</v>
      </c>
    </row>
    <row r="334" spans="2:20" x14ac:dyDescent="0.2">
      <c r="B334" s="337" t="s">
        <v>255</v>
      </c>
      <c r="C334" s="338">
        <v>0</v>
      </c>
      <c r="D334" s="338">
        <v>10311</v>
      </c>
      <c r="E334" s="338">
        <v>1166249070</v>
      </c>
      <c r="F334" s="339">
        <f>SUM(Table215216[[#This Row],[FICO300-629]:[Not_Available]])</f>
        <v>1166259381</v>
      </c>
    </row>
    <row r="335" spans="2:20" x14ac:dyDescent="0.2">
      <c r="B335" s="337" t="s">
        <v>256</v>
      </c>
      <c r="C335" s="338">
        <v>5791878722</v>
      </c>
      <c r="D335" s="338">
        <v>2187146831</v>
      </c>
      <c r="E335" s="338">
        <v>802895573</v>
      </c>
      <c r="F335" s="339">
        <f>SUM(Table215216[[#This Row],[FICO300-629]:[Not_Available]])</f>
        <v>8781921126</v>
      </c>
    </row>
    <row r="336" spans="2:20" x14ac:dyDescent="0.2">
      <c r="B336" s="337" t="s">
        <v>257</v>
      </c>
      <c r="C336" s="338">
        <v>13448261193</v>
      </c>
      <c r="D336" s="338">
        <v>3073224151</v>
      </c>
      <c r="E336" s="338">
        <v>2683762042</v>
      </c>
      <c r="F336" s="339">
        <f>SUM(Table215216[[#This Row],[FICO300-629]:[Not_Available]])</f>
        <v>19205247386</v>
      </c>
    </row>
    <row r="337" spans="2:7" x14ac:dyDescent="0.2">
      <c r="B337" s="337" t="s">
        <v>258</v>
      </c>
      <c r="C337" s="338">
        <v>36991422</v>
      </c>
      <c r="D337" s="338">
        <v>12351486</v>
      </c>
      <c r="E337" s="338">
        <v>1548868</v>
      </c>
      <c r="F337" s="339">
        <v>50891775</v>
      </c>
    </row>
    <row r="338" spans="2:7" x14ac:dyDescent="0.2">
      <c r="B338" s="340" t="s">
        <v>259</v>
      </c>
      <c r="C338" s="341">
        <v>64952266</v>
      </c>
      <c r="D338" s="341">
        <v>102217997</v>
      </c>
      <c r="E338" s="341">
        <v>99722371</v>
      </c>
      <c r="F338" s="339">
        <f>SUM(Table215216[[#This Row],[FICO300-629]:[Not_Available]])</f>
        <v>266892634</v>
      </c>
    </row>
    <row r="339" spans="2:7" x14ac:dyDescent="0.2">
      <c r="B339" s="337" t="s">
        <v>260</v>
      </c>
      <c r="C339" s="338"/>
      <c r="D339" s="338"/>
      <c r="E339" s="338">
        <v>435542279.85000002</v>
      </c>
      <c r="F339" s="339">
        <f>Table215216[[#This Row],[Not_Available]]</f>
        <v>435542279.85000002</v>
      </c>
    </row>
    <row r="340" spans="2:7" x14ac:dyDescent="0.2">
      <c r="B340" s="337" t="s">
        <v>261</v>
      </c>
      <c r="C340" s="338">
        <v>330735258.31</v>
      </c>
      <c r="D340" s="338">
        <v>6875181634.0900002</v>
      </c>
      <c r="E340" s="338">
        <f>Table215216[[#This Row],[Total]]-Table215216[[#This Row],[FICO630-850]]-Table215216[[#This Row],[FICO300-629]]</f>
        <v>625733127.98000002</v>
      </c>
      <c r="F340" s="339">
        <v>7831650020.3800001</v>
      </c>
    </row>
    <row r="341" spans="2:7" x14ac:dyDescent="0.2">
      <c r="B341" s="337" t="s">
        <v>262</v>
      </c>
      <c r="C341" s="338"/>
      <c r="D341" s="338"/>
      <c r="E341" s="338">
        <v>53401975.270000003</v>
      </c>
      <c r="F341" s="339">
        <f>Table215216[[#This Row],[Not_Available]]</f>
        <v>53401975.270000003</v>
      </c>
    </row>
    <row r="342" spans="2:7" x14ac:dyDescent="0.2">
      <c r="B342" s="337" t="s">
        <v>263</v>
      </c>
      <c r="C342" s="338">
        <v>831845219.73000002</v>
      </c>
      <c r="D342" s="338">
        <v>445020302.15000004</v>
      </c>
      <c r="E342" s="338">
        <f>Table215216[[#This Row],[Total]]-Table215216[[#This Row],[FICO630-850]]-Table215216[[#This Row],[FICO300-629]]</f>
        <v>127670296.25</v>
      </c>
      <c r="F342" s="339">
        <v>1404535818.1300001</v>
      </c>
    </row>
    <row r="343" spans="2:7" x14ac:dyDescent="0.2">
      <c r="B343" s="340" t="s">
        <v>264</v>
      </c>
      <c r="C343" s="341"/>
      <c r="D343" s="341"/>
      <c r="E343" s="342">
        <v>25983467</v>
      </c>
      <c r="F343" s="342">
        <f>Table215216[[#This Row],[Not_Available]]</f>
        <v>25983467</v>
      </c>
    </row>
    <row r="344" spans="2:7" x14ac:dyDescent="0.2">
      <c r="B344" s="340" t="s">
        <v>265</v>
      </c>
      <c r="C344" s="341"/>
      <c r="D344" s="341"/>
      <c r="E344" s="342">
        <v>50000000</v>
      </c>
      <c r="F344" s="342">
        <v>50000000</v>
      </c>
    </row>
    <row r="345" spans="2:7" x14ac:dyDescent="0.2">
      <c r="B345" s="343" t="s">
        <v>266</v>
      </c>
      <c r="C345" s="344">
        <f>SUM(C334:C344)</f>
        <v>20504664081.040001</v>
      </c>
      <c r="D345" s="344">
        <f t="shared" ref="D345:F345" si="21">SUM(D334:D344)</f>
        <v>12695152712.24</v>
      </c>
      <c r="E345" s="344">
        <f t="shared" si="21"/>
        <v>6072509070.3500004</v>
      </c>
      <c r="F345" s="344">
        <f t="shared" si="21"/>
        <v>39272325862.62999</v>
      </c>
    </row>
    <row r="346" spans="2:7" ht="13.5" thickBot="1" x14ac:dyDescent="0.25"/>
    <row r="347" spans="2:7" x14ac:dyDescent="0.2">
      <c r="B347" s="348" t="s">
        <v>269</v>
      </c>
      <c r="C347" s="349"/>
      <c r="D347" s="350"/>
      <c r="E347" s="351">
        <f>F345-D345-E334-E339-C340-E340-C341-E341-E343-E344</f>
        <v>23889527971.979992</v>
      </c>
      <c r="F347" s="336" t="s">
        <v>270</v>
      </c>
      <c r="G347" s="347">
        <f>E347-F342</f>
        <v>22484992153.849991</v>
      </c>
    </row>
    <row r="348" spans="2:7" x14ac:dyDescent="0.2">
      <c r="B348" s="352" t="s">
        <v>271</v>
      </c>
      <c r="C348" s="353"/>
      <c r="D348" s="353"/>
      <c r="E348" s="354">
        <v>119164738842.52</v>
      </c>
      <c r="G348" s="355">
        <f>G347/(E348-F342)</f>
        <v>0.19093880255278597</v>
      </c>
    </row>
    <row r="349" spans="2:7" ht="13.5" thickBot="1" x14ac:dyDescent="0.25">
      <c r="B349" s="356" t="s">
        <v>272</v>
      </c>
      <c r="C349" s="357"/>
      <c r="D349" s="357"/>
      <c r="E349" s="358">
        <f>E347/E348</f>
        <v>0.20047480659149317</v>
      </c>
    </row>
    <row r="350" spans="2:7" x14ac:dyDescent="0.2">
      <c r="B350" s="336" t="s">
        <v>273</v>
      </c>
      <c r="C350" s="353"/>
      <c r="E350" s="359">
        <f>F345-D345-E334-E339</f>
        <v>24975381800.539993</v>
      </c>
    </row>
    <row r="351" spans="2:7" x14ac:dyDescent="0.2">
      <c r="B351" s="336" t="s">
        <v>274</v>
      </c>
      <c r="C351" s="353"/>
      <c r="D351" s="353"/>
      <c r="E351" s="360">
        <v>9967534952.9099998</v>
      </c>
    </row>
    <row r="352" spans="2:7" x14ac:dyDescent="0.2">
      <c r="B352" s="336" t="s">
        <v>275</v>
      </c>
      <c r="C352" s="353"/>
      <c r="D352" s="353"/>
      <c r="E352" s="353">
        <f>E348+E351</f>
        <v>129132273795.43001</v>
      </c>
    </row>
    <row r="353" spans="2:5" x14ac:dyDescent="0.2">
      <c r="B353" s="336" t="s">
        <v>276</v>
      </c>
      <c r="C353" s="353"/>
      <c r="D353" s="353"/>
      <c r="E353" s="361">
        <f>E350/E352</f>
        <v>0.19340929317256297</v>
      </c>
    </row>
  </sheetData>
  <pageMargins left="0.7" right="0.7" top="0.75" bottom="0.75" header="0.3" footer="0.3"/>
  <pageSetup orientation="portrait" horizontalDpi="1200" verticalDpi="1200" r:id="rId1"/>
  <drawing r:id="rId2"/>
  <tableParts count="14">
    <tablePart r:id="rId3"/>
    <tablePart r:id="rId4"/>
    <tablePart r:id="rId5"/>
    <tablePart r:id="rId6"/>
    <tablePart r:id="rId7"/>
    <tablePart r:id="rId8"/>
    <tablePart r:id="rId9"/>
    <tablePart r:id="rId10"/>
    <tablePart r:id="rId11"/>
    <tablePart r:id="rId12"/>
    <tablePart r:id="rId13"/>
    <tablePart r:id="rId14"/>
    <tablePart r:id="rId15"/>
    <tablePart r:id="rId16"/>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AA34"/>
  <sheetViews>
    <sheetView zoomScale="85" zoomScaleNormal="85" workbookViewId="0">
      <selection activeCell="G39" sqref="G39"/>
    </sheetView>
  </sheetViews>
  <sheetFormatPr defaultColWidth="9.140625" defaultRowHeight="15" x14ac:dyDescent="0.25"/>
  <cols>
    <col min="1" max="1" width="4.7109375" style="56" customWidth="1"/>
    <col min="2" max="2" width="41.5703125" style="56" bestFit="1" customWidth="1"/>
    <col min="3" max="3" width="23.42578125" style="56" customWidth="1"/>
    <col min="4" max="4" width="19.28515625" style="56" customWidth="1"/>
    <col min="5" max="5" width="17.140625" style="56" customWidth="1"/>
    <col min="6" max="6" width="19" style="56" customWidth="1"/>
    <col min="7" max="22" width="21.140625" style="56" customWidth="1"/>
    <col min="23" max="23" width="21.28515625" style="56" customWidth="1"/>
    <col min="24" max="24" width="21.42578125" style="56" customWidth="1"/>
    <col min="25" max="26" width="21.42578125" style="56" hidden="1" customWidth="1"/>
    <col min="27" max="27" width="1.28515625" style="56" customWidth="1"/>
    <col min="28" max="16384" width="9.140625" style="56"/>
  </cols>
  <sheetData>
    <row r="1" spans="2:27" ht="15.75" thickBot="1" x14ac:dyDescent="0.3"/>
    <row r="2" spans="2:27" ht="15.75" thickBot="1" x14ac:dyDescent="0.3">
      <c r="B2" s="45" t="s">
        <v>121</v>
      </c>
      <c r="C2" s="46" t="s">
        <v>122</v>
      </c>
      <c r="D2" s="42" t="s">
        <v>118</v>
      </c>
      <c r="E2" s="157" t="s">
        <v>119</v>
      </c>
      <c r="F2" s="158" t="s">
        <v>120</v>
      </c>
      <c r="G2" s="159">
        <v>42005</v>
      </c>
      <c r="H2" s="160">
        <v>42036</v>
      </c>
      <c r="I2" s="161">
        <v>42064</v>
      </c>
      <c r="J2" s="162" t="s">
        <v>150</v>
      </c>
      <c r="K2" s="163">
        <v>42095</v>
      </c>
      <c r="L2" s="160">
        <v>42125</v>
      </c>
      <c r="M2" s="160">
        <v>42156</v>
      </c>
      <c r="N2" s="164" t="s">
        <v>151</v>
      </c>
      <c r="O2" s="160">
        <v>42186</v>
      </c>
      <c r="P2" s="160">
        <v>42217</v>
      </c>
      <c r="Q2" s="160">
        <v>42248</v>
      </c>
      <c r="R2" s="165" t="s">
        <v>152</v>
      </c>
      <c r="S2" s="160">
        <v>42278</v>
      </c>
      <c r="T2" s="160">
        <v>42309</v>
      </c>
      <c r="U2" s="160">
        <v>42339</v>
      </c>
      <c r="V2" s="164" t="s">
        <v>153</v>
      </c>
      <c r="W2" s="160">
        <v>42370</v>
      </c>
      <c r="X2" s="160">
        <v>42401</v>
      </c>
      <c r="Y2" s="161">
        <v>42430</v>
      </c>
      <c r="Z2" s="166" t="s">
        <v>154</v>
      </c>
      <c r="AA2" s="58"/>
    </row>
    <row r="3" spans="2:27" x14ac:dyDescent="0.25">
      <c r="B3" s="215" t="s">
        <v>158</v>
      </c>
      <c r="C3" s="216" t="s">
        <v>114</v>
      </c>
      <c r="D3" s="461">
        <v>0.03</v>
      </c>
      <c r="E3" s="461">
        <v>0.05</v>
      </c>
      <c r="F3" s="437" t="s">
        <v>125</v>
      </c>
      <c r="G3" s="167">
        <v>1914612.04</v>
      </c>
      <c r="H3" s="87">
        <v>34027132.520000003</v>
      </c>
      <c r="I3" s="168">
        <v>9975248</v>
      </c>
      <c r="J3" s="169">
        <v>45916992.560000002</v>
      </c>
      <c r="K3" s="170">
        <v>51202.11</v>
      </c>
      <c r="L3" s="87">
        <v>748134.01</v>
      </c>
      <c r="M3" s="171">
        <v>384880.14</v>
      </c>
      <c r="N3" s="169">
        <v>1184216.26</v>
      </c>
      <c r="O3" s="167">
        <v>6724799.6100000003</v>
      </c>
      <c r="P3" s="87">
        <v>4425767.4800000004</v>
      </c>
      <c r="Q3" s="87">
        <v>2594932.5</v>
      </c>
      <c r="R3" s="172">
        <v>13745499.59</v>
      </c>
      <c r="S3" s="170">
        <v>2510826.67</v>
      </c>
      <c r="T3" s="87">
        <v>5118874.37</v>
      </c>
      <c r="U3" s="87">
        <v>871201.35</v>
      </c>
      <c r="V3" s="172">
        <v>8500902.3900000006</v>
      </c>
      <c r="W3" s="170">
        <v>3480403.92</v>
      </c>
      <c r="X3" s="87">
        <v>3583397.9199999995</v>
      </c>
      <c r="Y3" s="173">
        <v>1218799</v>
      </c>
      <c r="Z3" s="172">
        <v>8282600.8399999999</v>
      </c>
    </row>
    <row r="4" spans="2:27" x14ac:dyDescent="0.25">
      <c r="B4" s="218" t="s">
        <v>159</v>
      </c>
      <c r="C4" s="219"/>
      <c r="D4" s="461"/>
      <c r="E4" s="461"/>
      <c r="F4" s="437"/>
      <c r="G4" s="174"/>
      <c r="H4" s="175"/>
      <c r="I4" s="176"/>
      <c r="J4" s="177"/>
      <c r="K4" s="178"/>
      <c r="L4" s="175"/>
      <c r="M4" s="179"/>
      <c r="N4" s="177"/>
      <c r="O4" s="180">
        <v>-470210848.52599996</v>
      </c>
      <c r="P4" s="181">
        <v>-474027826.77899987</v>
      </c>
      <c r="Q4" s="182">
        <v>-455169979.91600007</v>
      </c>
      <c r="R4" s="183">
        <v>-1399408655.221</v>
      </c>
      <c r="S4" s="184">
        <v>-473309880.29000002</v>
      </c>
      <c r="T4" s="181">
        <v>-442285595.82999998</v>
      </c>
      <c r="U4" s="182">
        <v>-460778700.71000004</v>
      </c>
      <c r="V4" s="183">
        <v>-1376374176.8299999</v>
      </c>
      <c r="W4" s="184">
        <v>-467755229.51999998</v>
      </c>
      <c r="X4" s="181">
        <v>-450826982.05000007</v>
      </c>
      <c r="Y4" s="185">
        <v>-487687419.245</v>
      </c>
      <c r="Z4" s="183">
        <v>-1406269630.8150001</v>
      </c>
    </row>
    <row r="5" spans="2:27" x14ac:dyDescent="0.25">
      <c r="B5" s="218" t="s">
        <v>161</v>
      </c>
      <c r="C5" s="219"/>
      <c r="D5" s="461"/>
      <c r="E5" s="461"/>
      <c r="F5" s="437"/>
      <c r="G5" s="174"/>
      <c r="H5" s="175"/>
      <c r="I5" s="176"/>
      <c r="J5" s="177"/>
      <c r="K5" s="178"/>
      <c r="L5" s="175"/>
      <c r="M5" s="179"/>
      <c r="N5" s="177"/>
      <c r="O5" s="180">
        <v>55559730.638999999</v>
      </c>
      <c r="P5" s="181">
        <v>56136023.432999991</v>
      </c>
      <c r="Q5" s="182">
        <v>56173855.373999998</v>
      </c>
      <c r="R5" s="183">
        <v>167869609.44599998</v>
      </c>
      <c r="S5" s="184">
        <v>56295040.060000002</v>
      </c>
      <c r="T5" s="181">
        <v>54918173</v>
      </c>
      <c r="U5" s="182">
        <v>57718385.410000011</v>
      </c>
      <c r="V5" s="183">
        <v>168931598.47000003</v>
      </c>
      <c r="W5" s="184">
        <v>60651896.579999998</v>
      </c>
      <c r="X5" s="181">
        <v>59618954.990000002</v>
      </c>
      <c r="Y5" s="185">
        <v>64709964</v>
      </c>
      <c r="Z5" s="183">
        <v>184980815.56999999</v>
      </c>
    </row>
    <row r="6" spans="2:27" ht="15.75" thickBot="1" x14ac:dyDescent="0.3">
      <c r="B6" s="218" t="s">
        <v>162</v>
      </c>
      <c r="C6" s="219"/>
      <c r="D6" s="461"/>
      <c r="E6" s="461"/>
      <c r="F6" s="437"/>
      <c r="G6" s="174"/>
      <c r="H6" s="175"/>
      <c r="I6" s="176"/>
      <c r="J6" s="177"/>
      <c r="K6" s="178"/>
      <c r="L6" s="175"/>
      <c r="M6" s="179"/>
      <c r="N6" s="177"/>
      <c r="O6" s="180">
        <v>-149656149.22</v>
      </c>
      <c r="P6" s="181">
        <v>-156822871.03299996</v>
      </c>
      <c r="Q6" s="182">
        <v>-172394390.553</v>
      </c>
      <c r="R6" s="183">
        <v>-478873410.80599999</v>
      </c>
      <c r="S6" s="184">
        <v>-172478503.47999999</v>
      </c>
      <c r="T6" s="181">
        <v>-172292928.30000001</v>
      </c>
      <c r="U6" s="182">
        <v>48745623.479999945</v>
      </c>
      <c r="V6" s="183">
        <v>-296025808.30000001</v>
      </c>
      <c r="W6" s="184">
        <v>-89604818.969999999</v>
      </c>
      <c r="X6" s="181">
        <v>-125537826.17</v>
      </c>
      <c r="Y6" s="185">
        <v>-127827220</v>
      </c>
      <c r="Z6" s="183">
        <v>-342969865.13999999</v>
      </c>
    </row>
    <row r="7" spans="2:27" ht="15.75" thickBot="1" x14ac:dyDescent="0.3">
      <c r="B7" s="215" t="s">
        <v>163</v>
      </c>
      <c r="C7" s="217" t="s">
        <v>116</v>
      </c>
      <c r="D7" s="461"/>
      <c r="E7" s="461"/>
      <c r="F7" s="437"/>
      <c r="G7" s="186">
        <v>-413532000</v>
      </c>
      <c r="H7" s="89">
        <v>-414444000</v>
      </c>
      <c r="I7" s="187">
        <v>-467576000</v>
      </c>
      <c r="J7" s="188">
        <v>-1295552000</v>
      </c>
      <c r="K7" s="189">
        <v>-495760000</v>
      </c>
      <c r="L7" s="89">
        <v>-469927000</v>
      </c>
      <c r="M7" s="190">
        <v>-494674000</v>
      </c>
      <c r="N7" s="169">
        <v>-1460361000</v>
      </c>
      <c r="O7" s="186">
        <v>-564307267.10699999</v>
      </c>
      <c r="P7" s="89">
        <v>-574714674.37899983</v>
      </c>
      <c r="Q7" s="190">
        <v>-571390515.09500003</v>
      </c>
      <c r="R7" s="172">
        <v>-1710412456.5809999</v>
      </c>
      <c r="S7" s="189">
        <v>-589493343.71000004</v>
      </c>
      <c r="T7" s="89">
        <v>-559660351.13</v>
      </c>
      <c r="U7" s="190">
        <v>-354314691.82000005</v>
      </c>
      <c r="V7" s="172">
        <v>-1503468386.6600003</v>
      </c>
      <c r="W7" s="189">
        <v>-496708151.90999997</v>
      </c>
      <c r="X7" s="89">
        <v>-516745853.23000008</v>
      </c>
      <c r="Y7" s="187">
        <v>-550804675.245</v>
      </c>
      <c r="Z7" s="172"/>
    </row>
    <row r="8" spans="2:27" ht="15.75" thickBot="1" x14ac:dyDescent="0.3">
      <c r="B8" s="427" t="s">
        <v>164</v>
      </c>
      <c r="C8" s="428"/>
      <c r="D8" s="462"/>
      <c r="E8" s="462"/>
      <c r="F8" s="438"/>
      <c r="G8" s="191">
        <v>4.6299005639225017E-3</v>
      </c>
      <c r="H8" s="55">
        <v>8.2103088764706456E-2</v>
      </c>
      <c r="I8" s="192">
        <v>2.1333960682327579E-2</v>
      </c>
      <c r="J8" s="193">
        <v>3.5442029775724943E-2</v>
      </c>
      <c r="K8" s="191">
        <v>1.0328003469420687E-4</v>
      </c>
      <c r="L8" s="55">
        <v>1.5920217608266817E-3</v>
      </c>
      <c r="M8" s="192">
        <v>7.780480478052212E-4</v>
      </c>
      <c r="N8" s="193">
        <v>8.1090652242835851E-4</v>
      </c>
      <c r="O8" s="191">
        <v>1.1916911232555314E-2</v>
      </c>
      <c r="P8" s="55">
        <v>7.7008082050144333E-3</v>
      </c>
      <c r="Q8" s="192">
        <v>4.5414343280944444E-3</v>
      </c>
      <c r="R8" s="193">
        <v>8.0363654609229961E-3</v>
      </c>
      <c r="S8" s="191">
        <v>4.2592960493803228E-3</v>
      </c>
      <c r="T8" s="55">
        <v>9.1463945224359283E-3</v>
      </c>
      <c r="U8" s="192">
        <v>2.4588349569274709E-3</v>
      </c>
      <c r="V8" s="193">
        <v>5.6541943052657116E-3</v>
      </c>
      <c r="W8" s="191">
        <v>7.006939400162341E-3</v>
      </c>
      <c r="X8" s="55">
        <v>6.9345460589599608E-3</v>
      </c>
      <c r="Y8" s="194">
        <v>2.2127608111856957E-3</v>
      </c>
      <c r="Z8" s="195" t="s">
        <v>138</v>
      </c>
    </row>
    <row r="10" spans="2:27" x14ac:dyDescent="0.25">
      <c r="B10" s="463" t="s">
        <v>167</v>
      </c>
      <c r="C10" s="463"/>
      <c r="D10" s="463"/>
      <c r="E10" s="463"/>
      <c r="F10" s="463"/>
    </row>
    <row r="11" spans="2:27" x14ac:dyDescent="0.25">
      <c r="B11" s="463"/>
      <c r="C11" s="463"/>
      <c r="D11" s="463"/>
      <c r="E11" s="463"/>
      <c r="F11" s="463"/>
    </row>
    <row r="12" spans="2:27" x14ac:dyDescent="0.25">
      <c r="B12" s="463"/>
      <c r="C12" s="463"/>
      <c r="D12" s="463"/>
      <c r="E12" s="463"/>
      <c r="F12" s="463"/>
    </row>
    <row r="13" spans="2:27" x14ac:dyDescent="0.25">
      <c r="B13" s="463"/>
      <c r="C13" s="463"/>
      <c r="D13" s="463"/>
      <c r="E13" s="463"/>
      <c r="F13" s="463"/>
      <c r="M13" s="211"/>
      <c r="N13" s="211"/>
    </row>
    <row r="14" spans="2:27" x14ac:dyDescent="0.25">
      <c r="B14" s="212"/>
      <c r="D14" s="69"/>
    </row>
    <row r="15" spans="2:27" x14ac:dyDescent="0.25">
      <c r="I15" s="95"/>
      <c r="N15" s="71"/>
    </row>
    <row r="16" spans="2:27" x14ac:dyDescent="0.25">
      <c r="N16" s="95"/>
    </row>
    <row r="17" spans="6:14" x14ac:dyDescent="0.25">
      <c r="I17" s="213"/>
      <c r="N17" s="95"/>
    </row>
    <row r="18" spans="6:14" x14ac:dyDescent="0.25">
      <c r="N18" s="95"/>
    </row>
    <row r="19" spans="6:14" x14ac:dyDescent="0.25">
      <c r="N19" s="95"/>
    </row>
    <row r="23" spans="6:14" x14ac:dyDescent="0.25">
      <c r="N23" s="95"/>
    </row>
    <row r="24" spans="6:14" x14ac:dyDescent="0.25">
      <c r="N24" s="95"/>
    </row>
    <row r="25" spans="6:14" x14ac:dyDescent="0.25">
      <c r="N25" s="95"/>
    </row>
    <row r="26" spans="6:14" x14ac:dyDescent="0.25">
      <c r="N26" s="95"/>
    </row>
    <row r="27" spans="6:14" x14ac:dyDescent="0.25">
      <c r="N27" s="95"/>
    </row>
    <row r="28" spans="6:14" x14ac:dyDescent="0.25">
      <c r="N28" s="95"/>
    </row>
    <row r="29" spans="6:14" x14ac:dyDescent="0.25">
      <c r="N29" s="95"/>
    </row>
    <row r="32" spans="6:14" x14ac:dyDescent="0.25">
      <c r="F32" s="76" t="s">
        <v>123</v>
      </c>
    </row>
    <row r="33" spans="6:26" x14ac:dyDescent="0.25">
      <c r="F33" s="56" t="s">
        <v>46</v>
      </c>
      <c r="G33" s="156">
        <v>0.03</v>
      </c>
      <c r="H33" s="156">
        <v>0.03</v>
      </c>
      <c r="I33" s="156">
        <v>0.03</v>
      </c>
      <c r="J33" s="156">
        <v>0.03</v>
      </c>
      <c r="K33" s="156">
        <v>0.03</v>
      </c>
      <c r="L33" s="156">
        <v>0.03</v>
      </c>
      <c r="M33" s="156">
        <v>0.03</v>
      </c>
      <c r="N33" s="156">
        <v>0.03</v>
      </c>
      <c r="O33" s="156">
        <v>0.03</v>
      </c>
      <c r="P33" s="156">
        <v>0.03</v>
      </c>
      <c r="Q33" s="156">
        <v>0.03</v>
      </c>
      <c r="R33" s="156">
        <v>0.03</v>
      </c>
      <c r="S33" s="156">
        <v>0.03</v>
      </c>
      <c r="T33" s="156">
        <v>0.03</v>
      </c>
      <c r="U33" s="156">
        <v>0.03</v>
      </c>
      <c r="V33" s="156">
        <v>0.03</v>
      </c>
      <c r="W33" s="156">
        <v>0.03</v>
      </c>
      <c r="X33" s="156">
        <v>0.03</v>
      </c>
      <c r="Y33" s="156">
        <v>0.03</v>
      </c>
      <c r="Z33" s="156">
        <v>0.03</v>
      </c>
    </row>
    <row r="34" spans="6:26" x14ac:dyDescent="0.25">
      <c r="F34" s="56" t="s">
        <v>47</v>
      </c>
      <c r="G34" s="156">
        <v>0.05</v>
      </c>
      <c r="H34" s="156">
        <v>0.05</v>
      </c>
      <c r="I34" s="156">
        <v>0.05</v>
      </c>
      <c r="J34" s="156">
        <v>0.05</v>
      </c>
      <c r="K34" s="156">
        <v>0.05</v>
      </c>
      <c r="L34" s="156">
        <v>0.05</v>
      </c>
      <c r="M34" s="156">
        <v>0.05</v>
      </c>
      <c r="N34" s="156">
        <v>0.05</v>
      </c>
      <c r="O34" s="156">
        <v>0.05</v>
      </c>
      <c r="P34" s="156">
        <v>0.05</v>
      </c>
      <c r="Q34" s="156">
        <v>0.05</v>
      </c>
      <c r="R34" s="156">
        <v>0.05</v>
      </c>
      <c r="S34" s="156">
        <v>0.05</v>
      </c>
      <c r="T34" s="156">
        <v>0.05</v>
      </c>
      <c r="U34" s="156">
        <v>0.05</v>
      </c>
      <c r="V34" s="156">
        <v>0.05</v>
      </c>
      <c r="W34" s="156">
        <v>0.05</v>
      </c>
      <c r="X34" s="156">
        <v>0.05</v>
      </c>
      <c r="Y34" s="156">
        <v>0.05</v>
      </c>
      <c r="Z34" s="156">
        <v>0.05</v>
      </c>
    </row>
  </sheetData>
  <mergeCells count="5">
    <mergeCell ref="B10:F13"/>
    <mergeCell ref="D3:D8"/>
    <mergeCell ref="E3:E8"/>
    <mergeCell ref="F3:F8"/>
    <mergeCell ref="B8:C8"/>
  </mergeCells>
  <conditionalFormatting sqref="G8:Z8">
    <cfRule type="cellIs" dxfId="36" priority="25" operator="greaterThanOrEqual">
      <formula>$E$3</formula>
    </cfRule>
    <cfRule type="cellIs" dxfId="35" priority="26" operator="greaterThanOrEqual">
      <formula>$D$3</formula>
    </cfRule>
  </conditionalFormatting>
  <conditionalFormatting sqref="S8">
    <cfRule type="cellIs" dxfId="34" priority="23" operator="greaterThanOrEqual">
      <formula>#REF!</formula>
    </cfRule>
    <cfRule type="cellIs" dxfId="33" priority="24" operator="greaterThanOrEqual">
      <formula>#REF!</formula>
    </cfRule>
  </conditionalFormatting>
  <conditionalFormatting sqref="X8:Z8">
    <cfRule type="cellIs" dxfId="32" priority="17" operator="greaterThanOrEqual">
      <formula>#REF!</formula>
    </cfRule>
    <cfRule type="cellIs" dxfId="31" priority="18" operator="greaterThanOrEqual">
      <formula>#REF!</formula>
    </cfRule>
  </conditionalFormatting>
  <conditionalFormatting sqref="W8">
    <cfRule type="cellIs" dxfId="30" priority="15" operator="greaterThanOrEqual">
      <formula>#REF!</formula>
    </cfRule>
    <cfRule type="cellIs" dxfId="29" priority="16" operator="greaterThanOrEqual">
      <formula>#REF!</formula>
    </cfRule>
  </conditionalFormatting>
  <conditionalFormatting sqref="O8:Q8">
    <cfRule type="cellIs" dxfId="28" priority="9" operator="greaterThanOrEqual">
      <formula>#REF!</formula>
    </cfRule>
    <cfRule type="cellIs" dxfId="27" priority="10" operator="greaterThanOrEqual">
      <formula>#REF!</formula>
    </cfRule>
  </conditionalFormatting>
  <conditionalFormatting sqref="R8">
    <cfRule type="cellIs" dxfId="26" priority="5" operator="greaterThanOrEqual">
      <formula>#REF!</formula>
    </cfRule>
    <cfRule type="cellIs" dxfId="25" priority="6" operator="greaterThanOrEqual">
      <formula>#REF!</formula>
    </cfRule>
  </conditionalFormatting>
  <conditionalFormatting sqref="G8:Z8">
    <cfRule type="cellIs" dxfId="24" priority="4" operator="equal">
      <formula>"Not Available"</formula>
    </cfRule>
  </conditionalFormatting>
  <conditionalFormatting sqref="V8">
    <cfRule type="cellIs" dxfId="23" priority="1" operator="greaterThanOrEqual">
      <formula>#REF!</formula>
    </cfRule>
    <cfRule type="cellIs" dxfId="22" priority="2" operator="greaterThanOrEqual">
      <formula>#REF!</formula>
    </cfRule>
  </conditionalFormatting>
  <pageMargins left="0.7" right="0.7" top="0.75" bottom="0.75" header="0.3" footer="0.3"/>
  <pageSetup scale="22" orientation="landscape" r:id="rId1"/>
  <headerFooter>
    <oddHeader>&amp;C&amp;"-,Bold Italic"&amp;18RAS REPORT (OPERATIONAL RISK) - DECEMBER 2015 - DRAFT</oddHeader>
  </headerFooter>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AM34"/>
  <sheetViews>
    <sheetView zoomScale="85" zoomScaleNormal="85" workbookViewId="0">
      <selection activeCell="J2" sqref="J2"/>
    </sheetView>
  </sheetViews>
  <sheetFormatPr defaultColWidth="9.140625" defaultRowHeight="15" x14ac:dyDescent="0.25"/>
  <cols>
    <col min="1" max="1" width="5" style="56" customWidth="1"/>
    <col min="2" max="2" width="41.5703125" style="56" bestFit="1" customWidth="1"/>
    <col min="3" max="3" width="23.42578125" style="56" customWidth="1"/>
    <col min="4" max="4" width="19.28515625" style="56" customWidth="1"/>
    <col min="5" max="5" width="17.140625" style="56" customWidth="1"/>
    <col min="6" max="6" width="19" style="56" customWidth="1"/>
    <col min="7" max="22" width="21.140625" style="56" customWidth="1"/>
    <col min="23" max="23" width="21.28515625" style="56" customWidth="1"/>
    <col min="24" max="26" width="21.42578125" style="56" customWidth="1"/>
    <col min="27" max="38" width="21.42578125" style="56" hidden="1" customWidth="1"/>
    <col min="39" max="39" width="1.28515625" style="56" customWidth="1"/>
    <col min="40" max="16384" width="9.140625" style="56"/>
  </cols>
  <sheetData>
    <row r="1" spans="2:39" ht="15.75" thickBot="1" x14ac:dyDescent="0.3"/>
    <row r="2" spans="2:39" ht="15.75" thickBot="1" x14ac:dyDescent="0.3">
      <c r="B2" s="45" t="s">
        <v>121</v>
      </c>
      <c r="C2" s="46" t="s">
        <v>122</v>
      </c>
      <c r="D2" s="42" t="s">
        <v>118</v>
      </c>
      <c r="E2" s="157" t="s">
        <v>119</v>
      </c>
      <c r="F2" s="158" t="s">
        <v>120</v>
      </c>
      <c r="G2" s="159">
        <v>42005</v>
      </c>
      <c r="H2" s="160">
        <v>42036</v>
      </c>
      <c r="I2" s="161">
        <v>42064</v>
      </c>
      <c r="J2" s="162" t="s">
        <v>150</v>
      </c>
      <c r="K2" s="163">
        <v>42095</v>
      </c>
      <c r="L2" s="160">
        <v>42125</v>
      </c>
      <c r="M2" s="160">
        <v>42156</v>
      </c>
      <c r="N2" s="164" t="s">
        <v>151</v>
      </c>
      <c r="O2" s="160">
        <v>42186</v>
      </c>
      <c r="P2" s="160">
        <v>42217</v>
      </c>
      <c r="Q2" s="160">
        <v>42248</v>
      </c>
      <c r="R2" s="165" t="s">
        <v>152</v>
      </c>
      <c r="S2" s="160">
        <v>42278</v>
      </c>
      <c r="T2" s="160">
        <v>42309</v>
      </c>
      <c r="U2" s="160">
        <v>42339</v>
      </c>
      <c r="V2" s="164" t="s">
        <v>153</v>
      </c>
      <c r="W2" s="160">
        <v>42370</v>
      </c>
      <c r="X2" s="160">
        <v>42401</v>
      </c>
      <c r="Y2" s="161">
        <v>42430</v>
      </c>
      <c r="Z2" s="166" t="s">
        <v>154</v>
      </c>
      <c r="AA2" s="163">
        <v>42461</v>
      </c>
      <c r="AB2" s="160">
        <v>42491</v>
      </c>
      <c r="AC2" s="160">
        <v>42522</v>
      </c>
      <c r="AD2" s="164" t="s">
        <v>155</v>
      </c>
      <c r="AE2" s="160">
        <v>42552</v>
      </c>
      <c r="AF2" s="160">
        <v>42583</v>
      </c>
      <c r="AG2" s="160">
        <v>42614</v>
      </c>
      <c r="AH2" s="164" t="s">
        <v>156</v>
      </c>
      <c r="AI2" s="160">
        <v>42644</v>
      </c>
      <c r="AJ2" s="160">
        <v>42675</v>
      </c>
      <c r="AK2" s="160">
        <v>42705</v>
      </c>
      <c r="AL2" s="164" t="s">
        <v>157</v>
      </c>
      <c r="AM2" s="58"/>
    </row>
    <row r="3" spans="2:39" ht="15.75" thickBot="1" x14ac:dyDescent="0.3">
      <c r="B3" s="214" t="s">
        <v>165</v>
      </c>
      <c r="C3" s="107" t="s">
        <v>160</v>
      </c>
      <c r="D3" s="464">
        <v>3</v>
      </c>
      <c r="E3" s="466">
        <v>6</v>
      </c>
      <c r="F3" s="442" t="s">
        <v>125</v>
      </c>
      <c r="G3" s="196">
        <v>0</v>
      </c>
      <c r="H3" s="197">
        <v>3</v>
      </c>
      <c r="I3" s="198">
        <v>1</v>
      </c>
      <c r="J3" s="199">
        <f>SUM(G3:I3)</f>
        <v>4</v>
      </c>
      <c r="K3" s="200">
        <v>0</v>
      </c>
      <c r="L3" s="201">
        <v>1</v>
      </c>
      <c r="M3" s="202">
        <v>0</v>
      </c>
      <c r="N3" s="199">
        <f>SUM(K3:M3)</f>
        <v>1</v>
      </c>
      <c r="O3" s="200">
        <v>1</v>
      </c>
      <c r="P3" s="201">
        <v>2</v>
      </c>
      <c r="Q3" s="202">
        <v>1</v>
      </c>
      <c r="R3" s="199">
        <f>SUM(O3:Q3)</f>
        <v>4</v>
      </c>
      <c r="S3" s="200">
        <v>0</v>
      </c>
      <c r="T3" s="201">
        <v>1</v>
      </c>
      <c r="U3" s="202">
        <v>0</v>
      </c>
      <c r="V3" s="199">
        <f>SUM(S3:U3)</f>
        <v>1</v>
      </c>
      <c r="W3" s="200">
        <v>2</v>
      </c>
      <c r="X3" s="201">
        <v>2</v>
      </c>
      <c r="Y3" s="104">
        <v>2</v>
      </c>
      <c r="Z3" s="199">
        <f>SUM(W3:Y3)</f>
        <v>6</v>
      </c>
      <c r="AA3" s="203"/>
      <c r="AB3" s="204"/>
      <c r="AC3" s="104"/>
      <c r="AD3" s="199">
        <f>SUM(AA3:AC3)</f>
        <v>0</v>
      </c>
      <c r="AE3" s="203"/>
      <c r="AF3" s="204"/>
      <c r="AG3" s="104"/>
      <c r="AH3" s="199">
        <f>SUM(AE3:AG3)</f>
        <v>0</v>
      </c>
      <c r="AI3" s="203"/>
      <c r="AJ3" s="204"/>
      <c r="AK3" s="104"/>
      <c r="AL3" s="199">
        <f>SUM(AI3:AK3)</f>
        <v>0</v>
      </c>
    </row>
    <row r="4" spans="2:39" ht="15.75" thickBot="1" x14ac:dyDescent="0.3">
      <c r="B4" s="427" t="s">
        <v>166</v>
      </c>
      <c r="C4" s="428"/>
      <c r="D4" s="465"/>
      <c r="E4" s="467"/>
      <c r="F4" s="438"/>
      <c r="G4" s="205">
        <f t="shared" ref="G4:AK4" si="0">IF(ISBLANK(G3),"Not Available",G3)</f>
        <v>0</v>
      </c>
      <c r="H4" s="206">
        <f t="shared" si="0"/>
        <v>3</v>
      </c>
      <c r="I4" s="207">
        <f t="shared" si="0"/>
        <v>1</v>
      </c>
      <c r="J4" s="208">
        <f t="shared" si="0"/>
        <v>4</v>
      </c>
      <c r="K4" s="209">
        <f t="shared" si="0"/>
        <v>0</v>
      </c>
      <c r="L4" s="206">
        <f t="shared" si="0"/>
        <v>1</v>
      </c>
      <c r="M4" s="207">
        <f t="shared" si="0"/>
        <v>0</v>
      </c>
      <c r="N4" s="208">
        <f t="shared" si="0"/>
        <v>1</v>
      </c>
      <c r="O4" s="209">
        <f t="shared" si="0"/>
        <v>1</v>
      </c>
      <c r="P4" s="206">
        <f t="shared" si="0"/>
        <v>2</v>
      </c>
      <c r="Q4" s="207">
        <f t="shared" si="0"/>
        <v>1</v>
      </c>
      <c r="R4" s="208">
        <f t="shared" si="0"/>
        <v>4</v>
      </c>
      <c r="S4" s="209">
        <f t="shared" si="0"/>
        <v>0</v>
      </c>
      <c r="T4" s="206">
        <f t="shared" si="0"/>
        <v>1</v>
      </c>
      <c r="U4" s="207">
        <f t="shared" si="0"/>
        <v>0</v>
      </c>
      <c r="V4" s="210">
        <f>IF(ISBLANK(V3),"Not Available",V3)</f>
        <v>1</v>
      </c>
      <c r="W4" s="209">
        <f t="shared" si="0"/>
        <v>2</v>
      </c>
      <c r="X4" s="206">
        <f t="shared" si="0"/>
        <v>2</v>
      </c>
      <c r="Y4" s="207">
        <f>IF(ISBLANK(Y3),"Not Available",Y3)</f>
        <v>2</v>
      </c>
      <c r="Z4" s="210">
        <f>IF(ISBLANK(Z3),"Not Available",Z3)</f>
        <v>6</v>
      </c>
      <c r="AA4" s="209" t="str">
        <f t="shared" si="0"/>
        <v>Not Available</v>
      </c>
      <c r="AB4" s="206" t="str">
        <f t="shared" si="0"/>
        <v>Not Available</v>
      </c>
      <c r="AC4" s="207" t="str">
        <f t="shared" si="0"/>
        <v>Not Available</v>
      </c>
      <c r="AD4" s="210">
        <f>IF(ISBLANK(AD3),"Not Available",AD3)</f>
        <v>0</v>
      </c>
      <c r="AE4" s="209" t="str">
        <f t="shared" si="0"/>
        <v>Not Available</v>
      </c>
      <c r="AF4" s="206" t="str">
        <f t="shared" si="0"/>
        <v>Not Available</v>
      </c>
      <c r="AG4" s="207" t="str">
        <f t="shared" si="0"/>
        <v>Not Available</v>
      </c>
      <c r="AH4" s="210">
        <f t="shared" si="0"/>
        <v>0</v>
      </c>
      <c r="AI4" s="209" t="str">
        <f t="shared" si="0"/>
        <v>Not Available</v>
      </c>
      <c r="AJ4" s="206" t="str">
        <f t="shared" si="0"/>
        <v>Not Available</v>
      </c>
      <c r="AK4" s="207" t="str">
        <f t="shared" si="0"/>
        <v>Not Available</v>
      </c>
      <c r="AL4" s="210">
        <f>IF(ISBLANK(AL3),"Not Available",AL3)</f>
        <v>0</v>
      </c>
    </row>
    <row r="6" spans="2:39" ht="15" customHeight="1" x14ac:dyDescent="0.25">
      <c r="B6" s="220"/>
      <c r="C6" s="220"/>
      <c r="D6" s="220"/>
      <c r="E6" s="220"/>
      <c r="F6" s="220"/>
    </row>
    <row r="7" spans="2:39" ht="15" customHeight="1" x14ac:dyDescent="0.25">
      <c r="B7" s="220"/>
      <c r="C7" s="220"/>
      <c r="D7" s="220"/>
      <c r="E7" s="220"/>
      <c r="F7" s="220"/>
    </row>
    <row r="8" spans="2:39" ht="15" customHeight="1" x14ac:dyDescent="0.25">
      <c r="B8" s="220"/>
      <c r="C8" s="220"/>
      <c r="D8" s="220"/>
      <c r="E8" s="220"/>
      <c r="F8" s="220"/>
    </row>
    <row r="9" spans="2:39" ht="15" customHeight="1" x14ac:dyDescent="0.25">
      <c r="B9" s="220"/>
      <c r="C9" s="220"/>
      <c r="D9" s="220"/>
      <c r="E9" s="220"/>
      <c r="F9" s="220"/>
      <c r="M9" s="211"/>
      <c r="N9" s="211"/>
    </row>
    <row r="10" spans="2:39" x14ac:dyDescent="0.25">
      <c r="B10" s="212"/>
      <c r="D10" s="69"/>
    </row>
    <row r="11" spans="2:39" x14ac:dyDescent="0.25">
      <c r="I11" s="95"/>
      <c r="N11" s="71"/>
    </row>
    <row r="12" spans="2:39" x14ac:dyDescent="0.25">
      <c r="N12" s="95"/>
    </row>
    <row r="13" spans="2:39" x14ac:dyDescent="0.25">
      <c r="I13" s="213"/>
      <c r="N13" s="95"/>
    </row>
    <row r="14" spans="2:39" x14ac:dyDescent="0.25">
      <c r="N14" s="95"/>
    </row>
    <row r="15" spans="2:39" x14ac:dyDescent="0.25">
      <c r="N15" s="95"/>
    </row>
    <row r="19" spans="6:14" x14ac:dyDescent="0.25">
      <c r="N19" s="95"/>
    </row>
    <row r="20" spans="6:14" x14ac:dyDescent="0.25">
      <c r="N20" s="95"/>
    </row>
    <row r="21" spans="6:14" x14ac:dyDescent="0.25">
      <c r="N21" s="95"/>
    </row>
    <row r="22" spans="6:14" x14ac:dyDescent="0.25">
      <c r="N22" s="95"/>
    </row>
    <row r="23" spans="6:14" x14ac:dyDescent="0.25">
      <c r="N23" s="95"/>
    </row>
    <row r="24" spans="6:14" x14ac:dyDescent="0.25">
      <c r="N24" s="95"/>
    </row>
    <row r="25" spans="6:14" x14ac:dyDescent="0.25">
      <c r="N25" s="95"/>
    </row>
    <row r="32" spans="6:14" x14ac:dyDescent="0.25">
      <c r="F32" s="76" t="s">
        <v>123</v>
      </c>
    </row>
    <row r="33" spans="6:26" x14ac:dyDescent="0.25">
      <c r="F33" s="56" t="s">
        <v>46</v>
      </c>
      <c r="G33" s="99">
        <v>3</v>
      </c>
      <c r="H33" s="99">
        <v>3</v>
      </c>
      <c r="I33" s="99">
        <v>3</v>
      </c>
      <c r="J33" s="99">
        <v>3</v>
      </c>
      <c r="K33" s="99">
        <v>3</v>
      </c>
      <c r="L33" s="99">
        <v>3</v>
      </c>
      <c r="M33" s="99">
        <v>3</v>
      </c>
      <c r="N33" s="99">
        <v>3</v>
      </c>
      <c r="O33" s="99">
        <v>3</v>
      </c>
      <c r="P33" s="99">
        <v>3</v>
      </c>
      <c r="Q33" s="99">
        <v>3</v>
      </c>
      <c r="R33" s="99">
        <v>3</v>
      </c>
      <c r="S33" s="99">
        <v>3</v>
      </c>
      <c r="T33" s="99">
        <v>3</v>
      </c>
      <c r="U33" s="99">
        <v>3</v>
      </c>
      <c r="V33" s="99">
        <v>3</v>
      </c>
      <c r="W33" s="99">
        <v>3</v>
      </c>
      <c r="X33" s="99">
        <v>3</v>
      </c>
      <c r="Y33" s="99">
        <v>3</v>
      </c>
      <c r="Z33" s="99">
        <v>3</v>
      </c>
    </row>
    <row r="34" spans="6:26" x14ac:dyDescent="0.25">
      <c r="F34" s="56" t="s">
        <v>47</v>
      </c>
      <c r="G34" s="99">
        <v>6</v>
      </c>
      <c r="H34" s="99">
        <v>6</v>
      </c>
      <c r="I34" s="99">
        <v>6</v>
      </c>
      <c r="J34" s="99">
        <v>6</v>
      </c>
      <c r="K34" s="99">
        <v>6</v>
      </c>
      <c r="L34" s="99">
        <v>6</v>
      </c>
      <c r="M34" s="99">
        <v>6</v>
      </c>
      <c r="N34" s="99">
        <v>6</v>
      </c>
      <c r="O34" s="99">
        <v>6</v>
      </c>
      <c r="P34" s="99">
        <v>6</v>
      </c>
      <c r="Q34" s="99">
        <v>6</v>
      </c>
      <c r="R34" s="99">
        <v>6</v>
      </c>
      <c r="S34" s="99">
        <v>6</v>
      </c>
      <c r="T34" s="99">
        <v>6</v>
      </c>
      <c r="U34" s="99">
        <v>6</v>
      </c>
      <c r="V34" s="99">
        <v>6</v>
      </c>
      <c r="W34" s="99">
        <v>6</v>
      </c>
      <c r="X34" s="99">
        <v>6</v>
      </c>
      <c r="Y34" s="99">
        <v>6</v>
      </c>
      <c r="Z34" s="99">
        <v>6</v>
      </c>
    </row>
  </sheetData>
  <mergeCells count="4">
    <mergeCell ref="D3:D4"/>
    <mergeCell ref="E3:E4"/>
    <mergeCell ref="F3:F4"/>
    <mergeCell ref="B4:C4"/>
  </mergeCells>
  <conditionalFormatting sqref="G4:N4 T4:V4">
    <cfRule type="cellIs" dxfId="21" priority="27" operator="greaterThanOrEqual">
      <formula>$E3</formula>
    </cfRule>
    <cfRule type="cellIs" dxfId="20" priority="28" operator="greaterThanOrEqual">
      <formula>$D3</formula>
    </cfRule>
  </conditionalFormatting>
  <conditionalFormatting sqref="S4">
    <cfRule type="cellIs" dxfId="19" priority="21" operator="greaterThanOrEqual">
      <formula>$E3</formula>
    </cfRule>
    <cfRule type="cellIs" dxfId="18" priority="22" operator="greaterThanOrEqual">
      <formula>$D3</formula>
    </cfRule>
  </conditionalFormatting>
  <conditionalFormatting sqref="X4:Z4 AB4:AD4 AF4:AH4 AJ4:AL4">
    <cfRule type="cellIs" dxfId="17" priority="19" operator="greaterThanOrEqual">
      <formula>$E3</formula>
    </cfRule>
    <cfRule type="cellIs" dxfId="16" priority="20" operator="greaterThanOrEqual">
      <formula>$D3</formula>
    </cfRule>
  </conditionalFormatting>
  <conditionalFormatting sqref="W4 AA4 AE4 AI4">
    <cfRule type="cellIs" dxfId="15" priority="13" operator="greaterThanOrEqual">
      <formula>$E3</formula>
    </cfRule>
    <cfRule type="cellIs" dxfId="14" priority="14" operator="greaterThanOrEqual">
      <formula>$D3</formula>
    </cfRule>
  </conditionalFormatting>
  <conditionalFormatting sqref="O4:Q4">
    <cfRule type="cellIs" dxfId="13" priority="11" operator="greaterThanOrEqual">
      <formula>$E3</formula>
    </cfRule>
    <cfRule type="cellIs" dxfId="12" priority="12" operator="greaterThanOrEqual">
      <formula>$D3</formula>
    </cfRule>
  </conditionalFormatting>
  <conditionalFormatting sqref="R4">
    <cfRule type="cellIs" dxfId="11" priority="7" operator="greaterThanOrEqual">
      <formula>$E3</formula>
    </cfRule>
    <cfRule type="cellIs" dxfId="10" priority="8" operator="greaterThanOrEqual">
      <formula>$D3</formula>
    </cfRule>
  </conditionalFormatting>
  <conditionalFormatting sqref="G4:AL4">
    <cfRule type="cellIs" dxfId="9" priority="3" operator="equal">
      <formula>"Not Available"</formula>
    </cfRule>
  </conditionalFormatting>
  <pageMargins left="0.7" right="0.7" top="0.75" bottom="0.75" header="0.3" footer="0.3"/>
  <pageSetup scale="22" orientation="landscape" r:id="rId1"/>
  <headerFooter>
    <oddHeader>&amp;C&amp;"-,Bold Italic"&amp;18RAS REPORT (OPERATIONAL RISK) - DECEMBER 2015 - DRAFT</oddHeader>
  </headerFooter>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34"/>
  <sheetViews>
    <sheetView zoomScale="85" zoomScaleNormal="85" workbookViewId="0">
      <selection activeCell="G5" sqref="G5:J5"/>
    </sheetView>
  </sheetViews>
  <sheetFormatPr defaultColWidth="9.140625" defaultRowHeight="15" x14ac:dyDescent="0.25"/>
  <cols>
    <col min="1" max="1" width="10.42578125" style="56" customWidth="1"/>
    <col min="2" max="2" width="34.85546875" style="56" bestFit="1" customWidth="1"/>
    <col min="3" max="3" width="22" style="56" bestFit="1" customWidth="1"/>
    <col min="4" max="4" width="19.28515625" style="56" customWidth="1"/>
    <col min="5" max="5" width="17.140625" style="56" customWidth="1"/>
    <col min="6" max="6" width="19" style="56" customWidth="1"/>
    <col min="7" max="21" width="21.140625" style="56" customWidth="1"/>
    <col min="22" max="30" width="21.140625" style="56" hidden="1" customWidth="1"/>
    <col min="31" max="31" width="1.140625" style="56" customWidth="1"/>
    <col min="32" max="16384" width="9.140625" style="56"/>
  </cols>
  <sheetData>
    <row r="1" spans="1:31" ht="15.75" thickBot="1" x14ac:dyDescent="0.3">
      <c r="C1" s="57"/>
    </row>
    <row r="2" spans="1:31" ht="15.75" thickBot="1" x14ac:dyDescent="0.3">
      <c r="B2" s="221" t="s">
        <v>121</v>
      </c>
      <c r="C2" s="222" t="s">
        <v>122</v>
      </c>
      <c r="D2" s="223" t="s">
        <v>118</v>
      </c>
      <c r="E2" s="224" t="s">
        <v>119</v>
      </c>
      <c r="F2" s="225" t="s">
        <v>120</v>
      </c>
      <c r="G2" s="40">
        <v>42005</v>
      </c>
      <c r="H2" s="39">
        <v>42036</v>
      </c>
      <c r="I2" s="39">
        <v>42064</v>
      </c>
      <c r="J2" s="39">
        <v>42095</v>
      </c>
      <c r="K2" s="39">
        <v>42125</v>
      </c>
      <c r="L2" s="39">
        <v>42156</v>
      </c>
      <c r="M2" s="39">
        <v>42186</v>
      </c>
      <c r="N2" s="39">
        <v>42217</v>
      </c>
      <c r="O2" s="39">
        <v>42248</v>
      </c>
      <c r="P2" s="39">
        <v>42278</v>
      </c>
      <c r="Q2" s="39">
        <v>42309</v>
      </c>
      <c r="R2" s="39">
        <v>42339</v>
      </c>
      <c r="S2" s="39">
        <v>42370</v>
      </c>
      <c r="T2" s="39">
        <v>42401</v>
      </c>
      <c r="U2" s="39">
        <v>42430</v>
      </c>
      <c r="V2" s="39">
        <v>42461</v>
      </c>
      <c r="W2" s="39">
        <v>42491</v>
      </c>
      <c r="X2" s="39">
        <v>42522</v>
      </c>
      <c r="Y2" s="39">
        <v>42552</v>
      </c>
      <c r="Z2" s="39">
        <v>42583</v>
      </c>
      <c r="AA2" s="39">
        <v>42614</v>
      </c>
      <c r="AB2" s="39">
        <v>42644</v>
      </c>
      <c r="AC2" s="39">
        <v>42675</v>
      </c>
      <c r="AD2" s="39">
        <v>42705</v>
      </c>
      <c r="AE2" s="58"/>
    </row>
    <row r="3" spans="1:31" ht="75" customHeight="1" x14ac:dyDescent="0.25">
      <c r="A3" s="85"/>
      <c r="B3" s="237" t="s">
        <v>170</v>
      </c>
      <c r="C3" s="238" t="s">
        <v>160</v>
      </c>
      <c r="D3" s="468">
        <v>1.4999999999999999E-2</v>
      </c>
      <c r="E3" s="468">
        <v>0.02</v>
      </c>
      <c r="F3" s="429" t="s">
        <v>125</v>
      </c>
      <c r="G3" s="226">
        <v>3.6534309361264174E-4</v>
      </c>
      <c r="H3" s="227">
        <v>4.0073605171698736E-4</v>
      </c>
      <c r="I3" s="227">
        <v>4.1420921541947747E-4</v>
      </c>
      <c r="J3" s="227">
        <v>4.2286093668560788E-4</v>
      </c>
      <c r="K3" s="227">
        <v>4.735994935494145E-4</v>
      </c>
      <c r="L3" s="227">
        <v>5.1091872302545577E-4</v>
      </c>
      <c r="M3" s="227">
        <v>5.4222259653526896E-4</v>
      </c>
      <c r="N3" s="227">
        <v>5.6165785822507328E-4</v>
      </c>
      <c r="O3" s="227">
        <v>5.8327275959330733E-4</v>
      </c>
      <c r="P3" s="227">
        <v>6.1905384232697005E-4</v>
      </c>
      <c r="Q3" s="227">
        <v>6.4935107849489E-4</v>
      </c>
      <c r="R3" s="228">
        <v>6.6634657709391081E-4</v>
      </c>
      <c r="S3" s="229">
        <v>6.9136344985071436E-4</v>
      </c>
      <c r="T3" s="230">
        <v>6.8569209649501001E-4</v>
      </c>
      <c r="U3" s="231">
        <v>6.990872953565536E-4</v>
      </c>
      <c r="V3" s="232"/>
      <c r="W3" s="232"/>
      <c r="X3" s="232"/>
      <c r="Y3" s="232"/>
      <c r="Z3" s="232"/>
      <c r="AA3" s="232"/>
      <c r="AB3" s="232"/>
      <c r="AC3" s="232"/>
      <c r="AD3" s="232"/>
    </row>
    <row r="4" spans="1:31" ht="15.75" thickBot="1" x14ac:dyDescent="0.3">
      <c r="A4" s="85"/>
      <c r="B4" s="239" t="s">
        <v>168</v>
      </c>
      <c r="C4" s="238">
        <v>12</v>
      </c>
      <c r="D4" s="469"/>
      <c r="E4" s="469"/>
      <c r="F4" s="430"/>
      <c r="G4" s="233">
        <v>12</v>
      </c>
      <c r="H4" s="233">
        <v>12</v>
      </c>
      <c r="I4" s="233">
        <v>12</v>
      </c>
      <c r="J4" s="233">
        <v>12</v>
      </c>
      <c r="K4" s="233">
        <v>12</v>
      </c>
      <c r="L4" s="233">
        <v>12</v>
      </c>
      <c r="M4" s="233">
        <v>12</v>
      </c>
      <c r="N4" s="233">
        <v>12</v>
      </c>
      <c r="O4" s="233">
        <v>12</v>
      </c>
      <c r="P4" s="233">
        <v>12</v>
      </c>
      <c r="Q4" s="233">
        <v>12</v>
      </c>
      <c r="R4" s="233">
        <v>12</v>
      </c>
      <c r="S4" s="234">
        <v>12</v>
      </c>
      <c r="T4" s="234">
        <v>12</v>
      </c>
      <c r="U4" s="234">
        <v>12</v>
      </c>
      <c r="V4" s="233">
        <v>12</v>
      </c>
      <c r="W4" s="233">
        <v>12</v>
      </c>
      <c r="X4" s="233">
        <v>12</v>
      </c>
      <c r="Y4" s="233">
        <v>12</v>
      </c>
      <c r="Z4" s="233">
        <v>12</v>
      </c>
      <c r="AA4" s="233">
        <v>12</v>
      </c>
      <c r="AB4" s="233">
        <v>12</v>
      </c>
      <c r="AC4" s="233">
        <v>12</v>
      </c>
      <c r="AD4" s="233">
        <v>12</v>
      </c>
    </row>
    <row r="5" spans="1:31" ht="30" customHeight="1" thickBot="1" x14ac:dyDescent="0.3">
      <c r="B5" s="427" t="s">
        <v>169</v>
      </c>
      <c r="C5" s="428"/>
      <c r="D5" s="470"/>
      <c r="E5" s="470"/>
      <c r="F5" s="431"/>
      <c r="G5" s="138">
        <v>4.3841171233517011E-3</v>
      </c>
      <c r="H5" s="138">
        <v>4.8088326206038486E-3</v>
      </c>
      <c r="I5" s="138">
        <v>4.9705105850337298E-3</v>
      </c>
      <c r="J5" s="138">
        <v>5.0743312402272943E-3</v>
      </c>
      <c r="K5" s="138">
        <v>5.6831939225929738E-3</v>
      </c>
      <c r="L5" s="138">
        <v>6.1310246763054688E-3</v>
      </c>
      <c r="M5" s="138">
        <v>6.506671158423228E-3</v>
      </c>
      <c r="N5" s="138">
        <v>6.7398942987008797E-3</v>
      </c>
      <c r="O5" s="138">
        <v>6.9992731151196884E-3</v>
      </c>
      <c r="P5" s="138">
        <v>7.4286461079236411E-3</v>
      </c>
      <c r="Q5" s="138">
        <v>7.7922129419386796E-3</v>
      </c>
      <c r="R5" s="138">
        <v>7.9961589251269297E-3</v>
      </c>
      <c r="S5" s="55">
        <v>8.2963613982085724E-3</v>
      </c>
      <c r="T5" s="55">
        <v>8.228305157940121E-3</v>
      </c>
      <c r="U5" s="55">
        <v>8.3890475442786432E-3</v>
      </c>
      <c r="V5" s="138" t="s">
        <v>138</v>
      </c>
      <c r="W5" s="138" t="s">
        <v>138</v>
      </c>
      <c r="X5" s="138" t="s">
        <v>138</v>
      </c>
      <c r="Y5" s="138" t="s">
        <v>138</v>
      </c>
      <c r="Z5" s="138" t="s">
        <v>138</v>
      </c>
      <c r="AA5" s="138" t="s">
        <v>138</v>
      </c>
      <c r="AB5" s="138" t="s">
        <v>138</v>
      </c>
      <c r="AC5" s="138" t="s">
        <v>138</v>
      </c>
      <c r="AD5" s="138" t="s">
        <v>138</v>
      </c>
    </row>
    <row r="6" spans="1:31" x14ac:dyDescent="0.25">
      <c r="C6" s="57"/>
    </row>
    <row r="7" spans="1:31" x14ac:dyDescent="0.25">
      <c r="B7" s="235"/>
      <c r="C7" s="57"/>
    </row>
    <row r="8" spans="1:31" x14ac:dyDescent="0.25">
      <c r="B8" s="236"/>
    </row>
    <row r="9" spans="1:31" x14ac:dyDescent="0.25">
      <c r="B9" s="236"/>
    </row>
    <row r="10" spans="1:31" x14ac:dyDescent="0.25">
      <c r="B10" s="236"/>
    </row>
    <row r="11" spans="1:31" x14ac:dyDescent="0.25">
      <c r="B11" s="236"/>
      <c r="O11" s="71"/>
    </row>
    <row r="12" spans="1:31" x14ac:dyDescent="0.25">
      <c r="B12" s="236"/>
    </row>
    <row r="13" spans="1:31" x14ac:dyDescent="0.25">
      <c r="B13" s="212"/>
    </row>
    <row r="23" spans="6:14" x14ac:dyDescent="0.25">
      <c r="G23" s="213"/>
      <c r="H23" s="213"/>
      <c r="I23" s="213"/>
      <c r="J23" s="213"/>
      <c r="K23" s="213"/>
      <c r="L23" s="213"/>
      <c r="M23" s="213"/>
      <c r="N23" s="213"/>
    </row>
    <row r="32" spans="6:14" x14ac:dyDescent="0.25">
      <c r="F32" s="76" t="s">
        <v>123</v>
      </c>
    </row>
    <row r="33" spans="6:21" x14ac:dyDescent="0.25">
      <c r="F33" s="56" t="s">
        <v>46</v>
      </c>
      <c r="G33" s="240">
        <v>1.4999999999999999E-2</v>
      </c>
      <c r="H33" s="240">
        <v>1.4999999999999999E-2</v>
      </c>
      <c r="I33" s="240">
        <v>1.4999999999999999E-2</v>
      </c>
      <c r="J33" s="240">
        <v>1.4999999999999999E-2</v>
      </c>
      <c r="K33" s="240">
        <v>1.4999999999999999E-2</v>
      </c>
      <c r="L33" s="240">
        <v>1.4999999999999999E-2</v>
      </c>
      <c r="M33" s="240">
        <v>1.4999999999999999E-2</v>
      </c>
      <c r="N33" s="240">
        <v>1.4999999999999999E-2</v>
      </c>
      <c r="O33" s="240">
        <v>1.4999999999999999E-2</v>
      </c>
      <c r="P33" s="240">
        <v>1.4999999999999999E-2</v>
      </c>
      <c r="Q33" s="240">
        <v>1.4999999999999999E-2</v>
      </c>
      <c r="R33" s="240">
        <v>1.4999999999999999E-2</v>
      </c>
      <c r="S33" s="240">
        <v>1.4999999999999999E-2</v>
      </c>
      <c r="T33" s="240">
        <v>1.4999999999999999E-2</v>
      </c>
      <c r="U33" s="240">
        <v>1.4999999999999999E-2</v>
      </c>
    </row>
    <row r="34" spans="6:21" x14ac:dyDescent="0.25">
      <c r="F34" s="56" t="s">
        <v>47</v>
      </c>
      <c r="G34" s="240">
        <v>0.02</v>
      </c>
      <c r="H34" s="240">
        <v>0.02</v>
      </c>
      <c r="I34" s="240">
        <v>0.02</v>
      </c>
      <c r="J34" s="240">
        <v>0.02</v>
      </c>
      <c r="K34" s="240">
        <v>0.02</v>
      </c>
      <c r="L34" s="240">
        <v>0.02</v>
      </c>
      <c r="M34" s="240">
        <v>0.02</v>
      </c>
      <c r="N34" s="240">
        <v>0.02</v>
      </c>
      <c r="O34" s="240">
        <v>0.02</v>
      </c>
      <c r="P34" s="240">
        <v>0.02</v>
      </c>
      <c r="Q34" s="240">
        <v>0.02</v>
      </c>
      <c r="R34" s="240">
        <v>0.02</v>
      </c>
      <c r="S34" s="240">
        <v>0.02</v>
      </c>
      <c r="T34" s="240">
        <v>0.02</v>
      </c>
      <c r="U34" s="240">
        <v>0.02</v>
      </c>
    </row>
  </sheetData>
  <mergeCells count="4">
    <mergeCell ref="D3:D5"/>
    <mergeCell ref="E3:E5"/>
    <mergeCell ref="F3:F5"/>
    <mergeCell ref="B5:C5"/>
  </mergeCells>
  <conditionalFormatting sqref="G5:AD5">
    <cfRule type="cellIs" dxfId="8" priority="2" operator="greaterThanOrEqual">
      <formula>$E3</formula>
    </cfRule>
    <cfRule type="cellIs" dxfId="7" priority="3" operator="greaterThanOrEqual">
      <formula>$D3</formula>
    </cfRule>
  </conditionalFormatting>
  <conditionalFormatting sqref="G5:AD5">
    <cfRule type="cellIs" dxfId="6" priority="1" operator="equal">
      <formula>"Not Available"</formula>
    </cfRule>
  </conditionalFormatting>
  <pageMargins left="0.7" right="0.7" top="0.75" bottom="0.75" header="0.3" footer="0.3"/>
  <pageSetup scale="27"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S16"/>
  <sheetViews>
    <sheetView zoomScale="85" zoomScaleNormal="85" workbookViewId="0">
      <selection activeCell="S2" sqref="S2"/>
    </sheetView>
  </sheetViews>
  <sheetFormatPr defaultColWidth="8.85546875" defaultRowHeight="12" x14ac:dyDescent="0.2"/>
  <cols>
    <col min="1" max="1" width="15" style="8" customWidth="1"/>
    <col min="2" max="2" width="27.28515625" style="8" customWidth="1"/>
    <col min="3" max="3" width="14.28515625" style="8" customWidth="1"/>
    <col min="4" max="4" width="13.5703125" style="8" customWidth="1"/>
    <col min="5" max="5" width="35.7109375" style="19" customWidth="1"/>
    <col min="6" max="6" width="29.5703125" style="19" customWidth="1"/>
    <col min="7" max="7" width="19.42578125" style="8" bestFit="1" customWidth="1"/>
    <col min="8" max="8" width="19.28515625" style="8" customWidth="1"/>
    <col min="9" max="9" width="16.28515625" style="8" customWidth="1"/>
    <col min="10" max="10" width="13.7109375" style="8" customWidth="1"/>
    <col min="11" max="11" width="19.28515625" style="8" customWidth="1"/>
    <col min="12" max="12" width="11.7109375" style="8" hidden="1" customWidth="1"/>
    <col min="13" max="13" width="16.85546875" style="8" hidden="1" customWidth="1"/>
    <col min="14" max="14" width="14.5703125" style="8" hidden="1" customWidth="1"/>
    <col min="15" max="15" width="21" style="8" hidden="1" customWidth="1"/>
    <col min="16" max="16" width="19.28515625" style="8" customWidth="1"/>
    <col min="17" max="18" width="8.85546875" style="8"/>
    <col min="19" max="19" width="11.42578125" style="8" bestFit="1" customWidth="1"/>
    <col min="20" max="16384" width="8.85546875" style="8"/>
  </cols>
  <sheetData>
    <row r="1" spans="1:19" s="27" customFormat="1" ht="48.75" thickBot="1" x14ac:dyDescent="0.3">
      <c r="A1" s="2" t="s">
        <v>24</v>
      </c>
      <c r="B1" s="3" t="s">
        <v>1</v>
      </c>
      <c r="C1" s="4" t="s">
        <v>71</v>
      </c>
      <c r="D1" s="4" t="s">
        <v>41</v>
      </c>
      <c r="E1" s="4" t="s">
        <v>72</v>
      </c>
      <c r="F1" s="4" t="s">
        <v>42</v>
      </c>
      <c r="G1" s="4" t="s">
        <v>43</v>
      </c>
      <c r="H1" s="4" t="s">
        <v>57</v>
      </c>
      <c r="I1" s="4" t="s">
        <v>46</v>
      </c>
      <c r="J1" s="4" t="s">
        <v>47</v>
      </c>
      <c r="K1" s="5" t="s">
        <v>48</v>
      </c>
      <c r="L1" s="6" t="s">
        <v>68</v>
      </c>
      <c r="M1" s="7" t="s">
        <v>69</v>
      </c>
      <c r="N1" s="7" t="s">
        <v>79</v>
      </c>
      <c r="O1" s="271" t="s">
        <v>70</v>
      </c>
      <c r="P1" s="272" t="s">
        <v>172</v>
      </c>
    </row>
    <row r="2" spans="1:19" ht="48.75" thickBot="1" x14ac:dyDescent="0.25">
      <c r="A2" s="424" t="s">
        <v>2</v>
      </c>
      <c r="B2" s="283" t="s">
        <v>25</v>
      </c>
      <c r="C2" s="9" t="s">
        <v>49</v>
      </c>
      <c r="D2" s="9" t="s">
        <v>58</v>
      </c>
      <c r="E2" s="284" t="s">
        <v>181</v>
      </c>
      <c r="F2" s="284" t="s">
        <v>181</v>
      </c>
      <c r="G2" s="9" t="s">
        <v>44</v>
      </c>
      <c r="H2" s="9" t="s">
        <v>94</v>
      </c>
      <c r="I2" s="288">
        <v>0.125</v>
      </c>
      <c r="J2" s="288">
        <v>0.1125</v>
      </c>
      <c r="K2" s="282" t="s">
        <v>96</v>
      </c>
      <c r="L2" s="11" t="s">
        <v>60</v>
      </c>
      <c r="M2" s="12" t="s">
        <v>49</v>
      </c>
      <c r="N2" s="12" t="s">
        <v>60</v>
      </c>
      <c r="O2" s="12" t="s">
        <v>60</v>
      </c>
      <c r="P2" s="267" t="s">
        <v>65</v>
      </c>
      <c r="S2" s="303" t="s">
        <v>196</v>
      </c>
    </row>
    <row r="3" spans="1:19" ht="25.15" customHeight="1" thickBot="1" x14ac:dyDescent="0.25">
      <c r="A3" s="425"/>
      <c r="B3" s="280" t="s">
        <v>26</v>
      </c>
      <c r="C3" s="1" t="s">
        <v>49</v>
      </c>
      <c r="D3" s="1" t="s">
        <v>49</v>
      </c>
      <c r="E3" s="16" t="s">
        <v>98</v>
      </c>
      <c r="F3" s="16" t="s">
        <v>97</v>
      </c>
      <c r="G3" s="1" t="s">
        <v>44</v>
      </c>
      <c r="H3" s="1" t="s">
        <v>94</v>
      </c>
      <c r="I3" s="281" t="s">
        <v>59</v>
      </c>
      <c r="J3" s="281" t="s">
        <v>59</v>
      </c>
      <c r="K3" s="10" t="s">
        <v>59</v>
      </c>
      <c r="L3" s="11" t="s">
        <v>60</v>
      </c>
      <c r="M3" s="12" t="s">
        <v>49</v>
      </c>
      <c r="N3" s="12" t="s">
        <v>60</v>
      </c>
      <c r="O3" s="12" t="s">
        <v>60</v>
      </c>
      <c r="P3" s="10" t="s">
        <v>59</v>
      </c>
    </row>
    <row r="4" spans="1:19" ht="60" x14ac:dyDescent="0.2">
      <c r="A4" s="424" t="s">
        <v>3</v>
      </c>
      <c r="B4" s="283" t="s">
        <v>27</v>
      </c>
      <c r="C4" s="9" t="s">
        <v>49</v>
      </c>
      <c r="D4" s="9" t="s">
        <v>80</v>
      </c>
      <c r="E4" s="284" t="s">
        <v>81</v>
      </c>
      <c r="F4" s="284" t="s">
        <v>82</v>
      </c>
      <c r="G4" s="9" t="s">
        <v>44</v>
      </c>
      <c r="H4" s="28" t="s">
        <v>77</v>
      </c>
      <c r="I4" s="28" t="s">
        <v>60</v>
      </c>
      <c r="J4" s="28" t="s">
        <v>60</v>
      </c>
      <c r="K4" s="29" t="s">
        <v>60</v>
      </c>
      <c r="L4" s="11" t="s">
        <v>60</v>
      </c>
      <c r="M4" s="12" t="s">
        <v>49</v>
      </c>
      <c r="N4" s="12" t="s">
        <v>60</v>
      </c>
      <c r="O4" s="12" t="s">
        <v>60</v>
      </c>
      <c r="P4" s="10" t="s">
        <v>66</v>
      </c>
    </row>
    <row r="5" spans="1:19" ht="60" x14ac:dyDescent="0.2">
      <c r="A5" s="426"/>
      <c r="B5" s="285" t="s">
        <v>28</v>
      </c>
      <c r="C5" s="12" t="s">
        <v>49</v>
      </c>
      <c r="D5" s="12" t="s">
        <v>80</v>
      </c>
      <c r="E5" s="286" t="s">
        <v>81</v>
      </c>
      <c r="F5" s="14" t="s">
        <v>182</v>
      </c>
      <c r="G5" s="12" t="s">
        <v>44</v>
      </c>
      <c r="H5" s="35" t="s">
        <v>77</v>
      </c>
      <c r="I5" s="35" t="s">
        <v>60</v>
      </c>
      <c r="J5" s="35" t="s">
        <v>60</v>
      </c>
      <c r="K5" s="36" t="s">
        <v>60</v>
      </c>
      <c r="L5" s="11" t="s">
        <v>60</v>
      </c>
      <c r="M5" s="12" t="s">
        <v>49</v>
      </c>
      <c r="N5" s="12" t="s">
        <v>60</v>
      </c>
      <c r="O5" s="12" t="s">
        <v>60</v>
      </c>
      <c r="P5" s="15" t="s">
        <v>66</v>
      </c>
    </row>
    <row r="6" spans="1:19" ht="51" customHeight="1" thickBot="1" x14ac:dyDescent="0.25">
      <c r="A6" s="425"/>
      <c r="B6" s="280" t="s">
        <v>29</v>
      </c>
      <c r="C6" s="1" t="s">
        <v>49</v>
      </c>
      <c r="D6" s="1" t="s">
        <v>80</v>
      </c>
      <c r="E6" s="287" t="s">
        <v>81</v>
      </c>
      <c r="F6" s="16" t="s">
        <v>83</v>
      </c>
      <c r="G6" s="1" t="s">
        <v>44</v>
      </c>
      <c r="H6" s="30" t="s">
        <v>77</v>
      </c>
      <c r="I6" s="30" t="s">
        <v>60</v>
      </c>
      <c r="J6" s="30" t="s">
        <v>60</v>
      </c>
      <c r="K6" s="31" t="s">
        <v>60</v>
      </c>
      <c r="L6" s="11" t="s">
        <v>60</v>
      </c>
      <c r="M6" s="12" t="s">
        <v>49</v>
      </c>
      <c r="N6" s="12" t="s">
        <v>60</v>
      </c>
      <c r="O6" s="12" t="s">
        <v>60</v>
      </c>
      <c r="P6" s="13" t="s">
        <v>66</v>
      </c>
    </row>
    <row r="7" spans="1:19" ht="72.75" thickBot="1" x14ac:dyDescent="0.25">
      <c r="A7" s="2" t="s">
        <v>30</v>
      </c>
      <c r="B7" s="292" t="s">
        <v>31</v>
      </c>
      <c r="C7" s="17" t="s">
        <v>49</v>
      </c>
      <c r="D7" s="17" t="s">
        <v>49</v>
      </c>
      <c r="E7" s="293" t="s">
        <v>180</v>
      </c>
      <c r="F7" s="293" t="s">
        <v>99</v>
      </c>
      <c r="G7" s="17" t="s">
        <v>44</v>
      </c>
      <c r="H7" s="17" t="s">
        <v>78</v>
      </c>
      <c r="I7" s="17" t="s">
        <v>59</v>
      </c>
      <c r="J7" s="17" t="s">
        <v>59</v>
      </c>
      <c r="K7" s="18" t="s">
        <v>59</v>
      </c>
      <c r="L7" s="11" t="s">
        <v>60</v>
      </c>
      <c r="M7" s="12" t="s">
        <v>49</v>
      </c>
      <c r="N7" s="12" t="s">
        <v>60</v>
      </c>
      <c r="O7" s="12" t="s">
        <v>60</v>
      </c>
      <c r="P7" s="270" t="s">
        <v>59</v>
      </c>
    </row>
    <row r="8" spans="1:19" ht="48" x14ac:dyDescent="0.2">
      <c r="A8" s="424" t="s">
        <v>19</v>
      </c>
      <c r="B8" s="283" t="s">
        <v>32</v>
      </c>
      <c r="C8" s="9" t="s">
        <v>49</v>
      </c>
      <c r="D8" s="9" t="s">
        <v>80</v>
      </c>
      <c r="E8" s="284" t="s">
        <v>90</v>
      </c>
      <c r="F8" s="284" t="s">
        <v>100</v>
      </c>
      <c r="G8" s="9" t="s">
        <v>45</v>
      </c>
      <c r="H8" s="9" t="s">
        <v>59</v>
      </c>
      <c r="I8" s="9" t="s">
        <v>173</v>
      </c>
      <c r="J8" s="9" t="s">
        <v>174</v>
      </c>
      <c r="K8" s="10" t="s">
        <v>59</v>
      </c>
      <c r="L8" s="11" t="s">
        <v>49</v>
      </c>
      <c r="M8" s="12" t="s">
        <v>49</v>
      </c>
      <c r="N8" s="12" t="s">
        <v>60</v>
      </c>
      <c r="O8" s="12" t="s">
        <v>60</v>
      </c>
      <c r="P8" s="10" t="s">
        <v>65</v>
      </c>
    </row>
    <row r="9" spans="1:19" ht="84" x14ac:dyDescent="0.2">
      <c r="A9" s="426"/>
      <c r="B9" s="285" t="s">
        <v>33</v>
      </c>
      <c r="C9" s="12" t="s">
        <v>49</v>
      </c>
      <c r="D9" s="12" t="s">
        <v>80</v>
      </c>
      <c r="E9" s="14" t="s">
        <v>75</v>
      </c>
      <c r="F9" s="14" t="s">
        <v>101</v>
      </c>
      <c r="G9" s="12" t="s">
        <v>45</v>
      </c>
      <c r="H9" s="12" t="s">
        <v>59</v>
      </c>
      <c r="I9" s="12">
        <v>2</v>
      </c>
      <c r="J9" s="12">
        <v>3</v>
      </c>
      <c r="K9" s="15" t="s">
        <v>59</v>
      </c>
      <c r="L9" s="11" t="s">
        <v>59</v>
      </c>
      <c r="M9" s="12" t="s">
        <v>59</v>
      </c>
      <c r="N9" s="12" t="s">
        <v>60</v>
      </c>
      <c r="O9" s="12" t="s">
        <v>60</v>
      </c>
      <c r="P9" s="15" t="s">
        <v>65</v>
      </c>
    </row>
    <row r="10" spans="1:19" ht="84" x14ac:dyDescent="0.2">
      <c r="A10" s="426"/>
      <c r="B10" s="285" t="s">
        <v>34</v>
      </c>
      <c r="C10" s="12" t="s">
        <v>49</v>
      </c>
      <c r="D10" s="12" t="s">
        <v>80</v>
      </c>
      <c r="E10" s="14" t="s">
        <v>75</v>
      </c>
      <c r="F10" s="14" t="s">
        <v>102</v>
      </c>
      <c r="G10" s="12" t="s">
        <v>45</v>
      </c>
      <c r="H10" s="12" t="s">
        <v>59</v>
      </c>
      <c r="I10" s="12">
        <v>0.99750000000000005</v>
      </c>
      <c r="J10" s="12">
        <v>0.995</v>
      </c>
      <c r="K10" s="15" t="s">
        <v>59</v>
      </c>
      <c r="L10" s="11" t="s">
        <v>59</v>
      </c>
      <c r="M10" s="12" t="s">
        <v>59</v>
      </c>
      <c r="N10" s="12" t="s">
        <v>60</v>
      </c>
      <c r="O10" s="12" t="s">
        <v>60</v>
      </c>
      <c r="P10" s="15" t="s">
        <v>65</v>
      </c>
    </row>
    <row r="11" spans="1:19" ht="68.25" customHeight="1" x14ac:dyDescent="0.2">
      <c r="A11" s="426"/>
      <c r="B11" s="285" t="s">
        <v>35</v>
      </c>
      <c r="C11" s="12" t="s">
        <v>49</v>
      </c>
      <c r="D11" s="12" t="s">
        <v>80</v>
      </c>
      <c r="E11" s="14" t="s">
        <v>74</v>
      </c>
      <c r="F11" s="14" t="s">
        <v>103</v>
      </c>
      <c r="G11" s="12" t="s">
        <v>45</v>
      </c>
      <c r="H11" s="12" t="s">
        <v>59</v>
      </c>
      <c r="I11" s="12">
        <v>0.03</v>
      </c>
      <c r="J11" s="12">
        <v>0.05</v>
      </c>
      <c r="K11" s="15" t="s">
        <v>59</v>
      </c>
      <c r="L11" s="11" t="s">
        <v>59</v>
      </c>
      <c r="M11" s="12" t="s">
        <v>59</v>
      </c>
      <c r="N11" s="12" t="s">
        <v>60</v>
      </c>
      <c r="O11" s="12" t="s">
        <v>60</v>
      </c>
      <c r="P11" s="15" t="s">
        <v>65</v>
      </c>
    </row>
    <row r="12" spans="1:19" ht="72" x14ac:dyDescent="0.2">
      <c r="A12" s="426"/>
      <c r="B12" s="285" t="s">
        <v>36</v>
      </c>
      <c r="C12" s="12" t="s">
        <v>49</v>
      </c>
      <c r="D12" s="12" t="s">
        <v>80</v>
      </c>
      <c r="E12" s="14" t="s">
        <v>76</v>
      </c>
      <c r="F12" s="14" t="s">
        <v>104</v>
      </c>
      <c r="G12" s="12" t="s">
        <v>45</v>
      </c>
      <c r="H12" s="12" t="s">
        <v>59</v>
      </c>
      <c r="I12" s="12">
        <v>3</v>
      </c>
      <c r="J12" s="12">
        <v>6</v>
      </c>
      <c r="K12" s="15" t="s">
        <v>59</v>
      </c>
      <c r="L12" s="11" t="s">
        <v>59</v>
      </c>
      <c r="M12" s="12" t="s">
        <v>59</v>
      </c>
      <c r="N12" s="12" t="s">
        <v>60</v>
      </c>
      <c r="O12" s="12" t="s">
        <v>60</v>
      </c>
      <c r="P12" s="15" t="s">
        <v>65</v>
      </c>
    </row>
    <row r="13" spans="1:19" ht="68.25" customHeight="1" x14ac:dyDescent="0.2">
      <c r="A13" s="426"/>
      <c r="B13" s="285" t="s">
        <v>37</v>
      </c>
      <c r="C13" s="12" t="s">
        <v>49</v>
      </c>
      <c r="D13" s="12" t="s">
        <v>80</v>
      </c>
      <c r="E13" s="14" t="s">
        <v>74</v>
      </c>
      <c r="F13" s="14" t="s">
        <v>105</v>
      </c>
      <c r="G13" s="12" t="s">
        <v>45</v>
      </c>
      <c r="H13" s="12" t="s">
        <v>59</v>
      </c>
      <c r="I13" s="12" t="s">
        <v>59</v>
      </c>
      <c r="J13" s="12" t="s">
        <v>59</v>
      </c>
      <c r="K13" s="15" t="s">
        <v>59</v>
      </c>
      <c r="L13" s="11" t="s">
        <v>59</v>
      </c>
      <c r="M13" s="12" t="s">
        <v>59</v>
      </c>
      <c r="N13" s="12" t="s">
        <v>60</v>
      </c>
      <c r="O13" s="12" t="s">
        <v>60</v>
      </c>
      <c r="P13" s="15" t="s">
        <v>66</v>
      </c>
    </row>
    <row r="14" spans="1:19" ht="168" x14ac:dyDescent="0.2">
      <c r="A14" s="426"/>
      <c r="B14" s="275" t="s">
        <v>88</v>
      </c>
      <c r="C14" s="35" t="s">
        <v>58</v>
      </c>
      <c r="D14" s="35" t="s">
        <v>58</v>
      </c>
      <c r="E14" s="37" t="s">
        <v>175</v>
      </c>
      <c r="F14" s="37" t="s">
        <v>89</v>
      </c>
      <c r="G14" s="35" t="s">
        <v>45</v>
      </c>
      <c r="H14" s="35" t="s">
        <v>78</v>
      </c>
      <c r="I14" s="276">
        <v>2.5000000000000001E-3</v>
      </c>
      <c r="J14" s="276">
        <v>3.5000000000000001E-3</v>
      </c>
      <c r="K14" s="277" t="s">
        <v>111</v>
      </c>
      <c r="L14" s="11" t="s">
        <v>49</v>
      </c>
      <c r="M14" s="12" t="s">
        <v>49</v>
      </c>
      <c r="N14" s="12" t="s">
        <v>60</v>
      </c>
      <c r="O14" s="12" t="s">
        <v>60</v>
      </c>
      <c r="P14" s="36" t="s">
        <v>65</v>
      </c>
    </row>
    <row r="15" spans="1:19" ht="36.75" thickBot="1" x14ac:dyDescent="0.25">
      <c r="A15" s="425"/>
      <c r="B15" s="280" t="s">
        <v>38</v>
      </c>
      <c r="C15" s="1" t="s">
        <v>49</v>
      </c>
      <c r="D15" s="1" t="s">
        <v>80</v>
      </c>
      <c r="E15" s="16" t="s">
        <v>73</v>
      </c>
      <c r="F15" s="16" t="s">
        <v>106</v>
      </c>
      <c r="G15" s="1" t="s">
        <v>45</v>
      </c>
      <c r="H15" s="1" t="s">
        <v>59</v>
      </c>
      <c r="I15" s="1">
        <v>1</v>
      </c>
      <c r="J15" s="1">
        <v>2</v>
      </c>
      <c r="K15" s="13" t="s">
        <v>59</v>
      </c>
      <c r="L15" s="11" t="s">
        <v>59</v>
      </c>
      <c r="M15" s="12" t="s">
        <v>59</v>
      </c>
      <c r="N15" s="12" t="s">
        <v>60</v>
      </c>
      <c r="O15" s="12" t="s">
        <v>60</v>
      </c>
      <c r="P15" s="13" t="s">
        <v>65</v>
      </c>
    </row>
    <row r="16" spans="1:19" ht="72.75" thickBot="1" x14ac:dyDescent="0.25">
      <c r="A16" s="2" t="s">
        <v>39</v>
      </c>
      <c r="B16" s="32" t="s">
        <v>40</v>
      </c>
      <c r="C16" s="33" t="s">
        <v>49</v>
      </c>
      <c r="D16" s="33" t="s">
        <v>58</v>
      </c>
      <c r="E16" s="34" t="s">
        <v>84</v>
      </c>
      <c r="F16" s="34" t="s">
        <v>85</v>
      </c>
      <c r="G16" s="33" t="s">
        <v>45</v>
      </c>
      <c r="H16" s="33" t="s">
        <v>78</v>
      </c>
      <c r="I16" s="33" t="s">
        <v>86</v>
      </c>
      <c r="J16" s="33" t="s">
        <v>87</v>
      </c>
      <c r="K16" s="278" t="s">
        <v>112</v>
      </c>
      <c r="L16" s="11" t="s">
        <v>60</v>
      </c>
      <c r="M16" s="12" t="s">
        <v>60</v>
      </c>
      <c r="N16" s="12" t="s">
        <v>60</v>
      </c>
      <c r="O16" s="12" t="s">
        <v>60</v>
      </c>
      <c r="P16" s="297" t="s">
        <v>66</v>
      </c>
    </row>
  </sheetData>
  <mergeCells count="3">
    <mergeCell ref="A2:A3"/>
    <mergeCell ref="A4:A6"/>
    <mergeCell ref="A8:A15"/>
  </mergeCells>
  <pageMargins left="0.25" right="0.25" top="0.75" bottom="0.75" header="0.3" footer="0.3"/>
  <pageSetup scale="55" fitToHeight="0" orientation="landscape"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33"/>
  <sheetViews>
    <sheetView topLeftCell="A4" zoomScale="70" zoomScaleNormal="70" workbookViewId="0">
      <selection activeCell="B2" sqref="B2:E2"/>
    </sheetView>
  </sheetViews>
  <sheetFormatPr defaultColWidth="9.140625" defaultRowHeight="15" x14ac:dyDescent="0.25"/>
  <cols>
    <col min="1" max="1" width="9.140625" style="241"/>
    <col min="2" max="2" width="24.5703125" style="241" bestFit="1" customWidth="1"/>
    <col min="3" max="5" width="24.5703125" style="241" customWidth="1"/>
    <col min="6" max="10" width="14.28515625" style="241" customWidth="1"/>
    <col min="11" max="16384" width="9.140625" style="241"/>
  </cols>
  <sheetData>
    <row r="1" spans="2:10" ht="15.75" thickBot="1" x14ac:dyDescent="0.3"/>
    <row r="2" spans="2:10" ht="15.75" thickBot="1" x14ac:dyDescent="0.3">
      <c r="B2" s="253" t="s">
        <v>121</v>
      </c>
      <c r="C2" s="254" t="s">
        <v>118</v>
      </c>
      <c r="D2" s="255" t="s">
        <v>119</v>
      </c>
      <c r="E2" s="256" t="s">
        <v>120</v>
      </c>
      <c r="F2" s="245" t="s">
        <v>150</v>
      </c>
      <c r="G2" s="246" t="s">
        <v>151</v>
      </c>
      <c r="H2" s="246" t="s">
        <v>152</v>
      </c>
      <c r="I2" s="246" t="s">
        <v>153</v>
      </c>
      <c r="J2" s="247" t="s">
        <v>154</v>
      </c>
    </row>
    <row r="3" spans="2:10" ht="30.75" thickBot="1" x14ac:dyDescent="0.3">
      <c r="B3" s="248" t="s">
        <v>88</v>
      </c>
      <c r="C3" s="249">
        <v>2.5000000000000001E-3</v>
      </c>
      <c r="D3" s="249">
        <v>3.5000000000000001E-3</v>
      </c>
      <c r="E3" s="252" t="s">
        <v>125</v>
      </c>
      <c r="F3" s="250">
        <v>1.8500000000000001E-3</v>
      </c>
      <c r="G3" s="242">
        <v>3.8000000000000002E-4</v>
      </c>
      <c r="H3" s="242">
        <v>2.48E-3</v>
      </c>
      <c r="I3" s="242">
        <v>2.97E-3</v>
      </c>
      <c r="J3" s="251">
        <v>2.8999999999999998E-3</v>
      </c>
    </row>
    <row r="4" spans="2:10" x14ac:dyDescent="0.25">
      <c r="D4" s="243"/>
      <c r="E4" s="244"/>
      <c r="F4" s="243"/>
    </row>
    <row r="5" spans="2:10" x14ac:dyDescent="0.25">
      <c r="D5" s="243"/>
      <c r="E5" s="244"/>
      <c r="F5" s="243"/>
    </row>
    <row r="6" spans="2:10" x14ac:dyDescent="0.25">
      <c r="D6" s="243"/>
      <c r="E6" s="243"/>
      <c r="F6" s="243"/>
    </row>
    <row r="31" spans="5:11" x14ac:dyDescent="0.25">
      <c r="E31" s="76" t="s">
        <v>123</v>
      </c>
      <c r="F31" s="56"/>
      <c r="G31" s="56"/>
      <c r="H31" s="56"/>
      <c r="I31" s="56"/>
      <c r="K31" s="56"/>
    </row>
    <row r="32" spans="5:11" x14ac:dyDescent="0.25">
      <c r="E32" s="56" t="s">
        <v>46</v>
      </c>
      <c r="F32" s="77">
        <v>2.5000000000000001E-3</v>
      </c>
      <c r="G32" s="77">
        <v>2.5000000000000001E-3</v>
      </c>
      <c r="H32" s="77">
        <v>2.5000000000000001E-3</v>
      </c>
      <c r="I32" s="77">
        <v>2.5000000000000001E-3</v>
      </c>
      <c r="J32" s="77">
        <v>2.5000000000000001E-3</v>
      </c>
    </row>
    <row r="33" spans="5:10" x14ac:dyDescent="0.25">
      <c r="E33" s="56" t="s">
        <v>47</v>
      </c>
      <c r="F33" s="77">
        <v>3.5000000000000001E-3</v>
      </c>
      <c r="G33" s="77">
        <v>3.5000000000000001E-3</v>
      </c>
      <c r="H33" s="77">
        <v>3.5000000000000001E-3</v>
      </c>
      <c r="I33" s="77">
        <v>3.5000000000000001E-3</v>
      </c>
      <c r="J33" s="77">
        <v>3.5000000000000001E-3</v>
      </c>
    </row>
  </sheetData>
  <conditionalFormatting sqref="F3:J3">
    <cfRule type="cellIs" dxfId="5" priority="1" operator="equal">
      <formula>"Not Available"</formula>
    </cfRule>
    <cfRule type="cellIs" dxfId="4" priority="2" operator="greaterThanOrEqual">
      <formula>$D$3</formula>
    </cfRule>
    <cfRule type="cellIs" dxfId="3" priority="3" operator="greaterThanOrEqual">
      <formula>$C$3</formula>
    </cfRule>
  </conditionalFormatting>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V33"/>
  <sheetViews>
    <sheetView zoomScale="70" zoomScaleNormal="70" workbookViewId="0">
      <selection activeCell="T26" sqref="T26"/>
    </sheetView>
  </sheetViews>
  <sheetFormatPr defaultColWidth="9.140625" defaultRowHeight="15" x14ac:dyDescent="0.25"/>
  <cols>
    <col min="1" max="1" width="9.140625" style="241"/>
    <col min="2" max="2" width="32" style="241" bestFit="1" customWidth="1"/>
    <col min="3" max="3" width="19.28515625" style="241" bestFit="1" customWidth="1"/>
    <col min="4" max="4" width="12" style="241" bestFit="1" customWidth="1"/>
    <col min="5" max="5" width="13.5703125" style="241" bestFit="1" customWidth="1"/>
    <col min="6" max="10" width="14.28515625" style="241" customWidth="1"/>
    <col min="11" max="16384" width="9.140625" style="241"/>
  </cols>
  <sheetData>
    <row r="1" spans="2:20" ht="15.75" thickBot="1" x14ac:dyDescent="0.3"/>
    <row r="2" spans="2:20" ht="15.75" thickBot="1" x14ac:dyDescent="0.3">
      <c r="B2" s="253" t="s">
        <v>121</v>
      </c>
      <c r="C2" s="254" t="s">
        <v>118</v>
      </c>
      <c r="D2" s="255" t="s">
        <v>119</v>
      </c>
      <c r="E2" s="256" t="s">
        <v>120</v>
      </c>
      <c r="F2" s="83">
        <v>42005</v>
      </c>
      <c r="G2" s="83">
        <v>42036</v>
      </c>
      <c r="H2" s="83">
        <v>42064</v>
      </c>
      <c r="I2" s="83">
        <v>42095</v>
      </c>
      <c r="J2" s="83">
        <v>42125</v>
      </c>
      <c r="K2" s="83">
        <v>42156</v>
      </c>
      <c r="L2" s="83">
        <v>42186</v>
      </c>
      <c r="M2" s="83">
        <v>42217</v>
      </c>
      <c r="N2" s="83">
        <v>42248</v>
      </c>
      <c r="O2" s="83">
        <v>42278</v>
      </c>
      <c r="P2" s="83">
        <v>42309</v>
      </c>
      <c r="Q2" s="83">
        <v>42339</v>
      </c>
      <c r="R2" s="83">
        <v>42370</v>
      </c>
      <c r="S2" s="83">
        <v>42401</v>
      </c>
      <c r="T2" s="83">
        <v>42430</v>
      </c>
    </row>
    <row r="3" spans="2:20" ht="15.75" thickBot="1" x14ac:dyDescent="0.3">
      <c r="B3" s="295" t="s">
        <v>32</v>
      </c>
      <c r="C3" s="294">
        <v>0.02</v>
      </c>
      <c r="D3" s="294">
        <v>0.03</v>
      </c>
      <c r="E3" s="252" t="s">
        <v>125</v>
      </c>
      <c r="F3" s="138">
        <v>3.3018867924528301E-2</v>
      </c>
      <c r="G3" s="55">
        <v>2.318840579710145E-2</v>
      </c>
      <c r="H3" s="55">
        <v>2.1390374331550801E-2</v>
      </c>
      <c r="I3" s="55">
        <v>2.056555269922879E-2</v>
      </c>
      <c r="J3" s="192">
        <v>1.4778325123152709E-2</v>
      </c>
      <c r="K3" s="138">
        <v>1.7456359102244388E-2</v>
      </c>
      <c r="L3" s="55">
        <v>1.3333333333333334E-2</v>
      </c>
      <c r="M3" s="55">
        <v>1.532567049808429E-2</v>
      </c>
      <c r="N3" s="55">
        <v>1.1513157894736841E-2</v>
      </c>
      <c r="O3" s="192">
        <v>5.763688760806916E-3</v>
      </c>
      <c r="P3" s="138">
        <v>4.7393364928909956E-3</v>
      </c>
      <c r="Q3" s="55">
        <v>4.5454545454545452E-3</v>
      </c>
      <c r="R3" s="55">
        <v>4.6893317702227429E-3</v>
      </c>
      <c r="S3" s="55">
        <v>3.90625E-3</v>
      </c>
      <c r="T3" s="192">
        <v>3.9735099337748344E-3</v>
      </c>
    </row>
    <row r="4" spans="2:20" x14ac:dyDescent="0.25">
      <c r="D4" s="243"/>
      <c r="E4" s="244"/>
      <c r="F4" s="243"/>
    </row>
    <row r="5" spans="2:20" x14ac:dyDescent="0.25">
      <c r="D5" s="243"/>
      <c r="E5" s="244"/>
      <c r="F5" s="243"/>
    </row>
    <row r="6" spans="2:20" x14ac:dyDescent="0.25">
      <c r="D6" s="243"/>
      <c r="E6" s="243"/>
      <c r="F6" s="243"/>
    </row>
    <row r="31" spans="5:22" x14ac:dyDescent="0.25">
      <c r="E31" s="76"/>
      <c r="F31" s="56"/>
      <c r="G31" s="56"/>
      <c r="H31" s="56"/>
      <c r="I31" s="56"/>
      <c r="K31" s="56"/>
    </row>
    <row r="32" spans="5:22" x14ac:dyDescent="0.25">
      <c r="E32" s="56"/>
      <c r="F32" s="77">
        <f>$C$3</f>
        <v>0.02</v>
      </c>
      <c r="G32" s="77">
        <f t="shared" ref="G32:T32" si="0">$C$3</f>
        <v>0.02</v>
      </c>
      <c r="H32" s="77">
        <f t="shared" si="0"/>
        <v>0.02</v>
      </c>
      <c r="I32" s="77">
        <f t="shared" si="0"/>
        <v>0.02</v>
      </c>
      <c r="J32" s="77">
        <f t="shared" si="0"/>
        <v>0.02</v>
      </c>
      <c r="K32" s="77">
        <f t="shared" si="0"/>
        <v>0.02</v>
      </c>
      <c r="L32" s="77">
        <f t="shared" si="0"/>
        <v>0.02</v>
      </c>
      <c r="M32" s="77">
        <f t="shared" si="0"/>
        <v>0.02</v>
      </c>
      <c r="N32" s="77">
        <f t="shared" si="0"/>
        <v>0.02</v>
      </c>
      <c r="O32" s="77">
        <f t="shared" si="0"/>
        <v>0.02</v>
      </c>
      <c r="P32" s="77">
        <f t="shared" si="0"/>
        <v>0.02</v>
      </c>
      <c r="Q32" s="77">
        <f t="shared" si="0"/>
        <v>0.02</v>
      </c>
      <c r="R32" s="77">
        <f t="shared" si="0"/>
        <v>0.02</v>
      </c>
      <c r="S32" s="77">
        <f t="shared" si="0"/>
        <v>0.02</v>
      </c>
      <c r="T32" s="77">
        <f t="shared" si="0"/>
        <v>0.02</v>
      </c>
      <c r="U32" s="296"/>
      <c r="V32" s="296"/>
    </row>
    <row r="33" spans="5:22" x14ac:dyDescent="0.25">
      <c r="E33" s="56"/>
      <c r="F33" s="77">
        <f>$D$3</f>
        <v>0.03</v>
      </c>
      <c r="G33" s="77">
        <f t="shared" ref="G33:T33" si="1">$D$3</f>
        <v>0.03</v>
      </c>
      <c r="H33" s="77">
        <f t="shared" si="1"/>
        <v>0.03</v>
      </c>
      <c r="I33" s="77">
        <f t="shared" si="1"/>
        <v>0.03</v>
      </c>
      <c r="J33" s="77">
        <f t="shared" si="1"/>
        <v>0.03</v>
      </c>
      <c r="K33" s="77">
        <f t="shared" si="1"/>
        <v>0.03</v>
      </c>
      <c r="L33" s="77">
        <f t="shared" si="1"/>
        <v>0.03</v>
      </c>
      <c r="M33" s="77">
        <f t="shared" si="1"/>
        <v>0.03</v>
      </c>
      <c r="N33" s="77">
        <f t="shared" si="1"/>
        <v>0.03</v>
      </c>
      <c r="O33" s="77">
        <f t="shared" si="1"/>
        <v>0.03</v>
      </c>
      <c r="P33" s="77">
        <f t="shared" si="1"/>
        <v>0.03</v>
      </c>
      <c r="Q33" s="77">
        <f t="shared" si="1"/>
        <v>0.03</v>
      </c>
      <c r="R33" s="77">
        <f t="shared" si="1"/>
        <v>0.03</v>
      </c>
      <c r="S33" s="77">
        <f t="shared" si="1"/>
        <v>0.03</v>
      </c>
      <c r="T33" s="77">
        <f t="shared" si="1"/>
        <v>0.03</v>
      </c>
      <c r="U33" s="296"/>
      <c r="V33" s="296"/>
    </row>
  </sheetData>
  <conditionalFormatting sqref="F3:T3">
    <cfRule type="cellIs" dxfId="2" priority="1" operator="equal">
      <formula>"Not Available"</formula>
    </cfRule>
    <cfRule type="cellIs" dxfId="1" priority="2" operator="greaterThanOrEqual">
      <formula>$D$3</formula>
    </cfRule>
    <cfRule type="cellIs" dxfId="0" priority="3" operator="greaterThanOrEqual">
      <formula>$C$3</formula>
    </cfRule>
  </conditionalFormatting>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6"/>
  <sheetViews>
    <sheetView workbookViewId="0">
      <selection activeCell="E13" sqref="E13"/>
    </sheetView>
  </sheetViews>
  <sheetFormatPr defaultRowHeight="15" x14ac:dyDescent="0.25"/>
  <sheetData>
    <row r="1" spans="1:9" x14ac:dyDescent="0.25">
      <c r="A1" s="298" t="s">
        <v>0</v>
      </c>
      <c r="B1" s="298" t="s">
        <v>1</v>
      </c>
      <c r="C1" s="298" t="s">
        <v>43</v>
      </c>
      <c r="D1" s="298" t="s">
        <v>183</v>
      </c>
      <c r="E1" s="298" t="s">
        <v>184</v>
      </c>
      <c r="F1" s="298" t="s">
        <v>185</v>
      </c>
      <c r="G1" s="298" t="s">
        <v>186</v>
      </c>
      <c r="H1" s="298" t="s">
        <v>187</v>
      </c>
      <c r="I1" s="298" t="s">
        <v>188</v>
      </c>
    </row>
    <row r="2" spans="1:9" x14ac:dyDescent="0.25">
      <c r="A2" s="471" t="s">
        <v>189</v>
      </c>
      <c r="B2" s="299" t="s">
        <v>33</v>
      </c>
      <c r="C2" s="300" t="s">
        <v>45</v>
      </c>
      <c r="D2" s="300" t="s">
        <v>190</v>
      </c>
      <c r="E2" s="300">
        <v>2</v>
      </c>
      <c r="F2" s="300">
        <v>1</v>
      </c>
      <c r="G2" s="300">
        <v>2</v>
      </c>
      <c r="H2" s="300">
        <v>1</v>
      </c>
      <c r="I2" s="300">
        <v>0</v>
      </c>
    </row>
    <row r="3" spans="1:9" x14ac:dyDescent="0.25">
      <c r="A3" s="471"/>
      <c r="B3" s="299" t="s">
        <v>34</v>
      </c>
      <c r="C3" s="300" t="s">
        <v>45</v>
      </c>
      <c r="D3" s="300" t="s">
        <v>191</v>
      </c>
      <c r="E3" s="301">
        <v>0.99980000000000002</v>
      </c>
      <c r="F3" s="301">
        <v>0.99990000000000001</v>
      </c>
      <c r="G3" s="301">
        <v>0.99968000000000001</v>
      </c>
      <c r="H3" s="301">
        <v>0.99729999999999996</v>
      </c>
      <c r="I3" s="302">
        <v>1</v>
      </c>
    </row>
    <row r="4" spans="1:9" x14ac:dyDescent="0.25">
      <c r="A4" s="471"/>
      <c r="B4" s="299" t="s">
        <v>35</v>
      </c>
      <c r="C4" s="300" t="s">
        <v>45</v>
      </c>
      <c r="D4" s="300" t="s">
        <v>192</v>
      </c>
      <c r="E4" s="300" t="s">
        <v>193</v>
      </c>
      <c r="F4" s="300" t="s">
        <v>193</v>
      </c>
      <c r="G4" s="300" t="s">
        <v>193</v>
      </c>
      <c r="H4" s="300" t="s">
        <v>193</v>
      </c>
      <c r="I4" s="300" t="s">
        <v>193</v>
      </c>
    </row>
    <row r="5" spans="1:9" x14ac:dyDescent="0.25">
      <c r="A5" s="471"/>
      <c r="B5" s="299" t="s">
        <v>36</v>
      </c>
      <c r="C5" s="300" t="s">
        <v>45</v>
      </c>
      <c r="D5" s="300" t="s">
        <v>194</v>
      </c>
      <c r="E5" s="300">
        <v>3</v>
      </c>
      <c r="F5" s="300">
        <v>3</v>
      </c>
      <c r="G5" s="300">
        <v>3</v>
      </c>
      <c r="H5" s="300">
        <v>3</v>
      </c>
      <c r="I5" s="300">
        <v>3</v>
      </c>
    </row>
    <row r="6" spans="1:9" x14ac:dyDescent="0.25">
      <c r="A6" s="471"/>
      <c r="B6" s="299" t="s">
        <v>38</v>
      </c>
      <c r="C6" s="300" t="s">
        <v>45</v>
      </c>
      <c r="D6" s="300"/>
      <c r="E6" s="300">
        <v>0</v>
      </c>
      <c r="F6" s="300">
        <v>0</v>
      </c>
      <c r="G6" s="300">
        <v>0</v>
      </c>
      <c r="H6" s="300">
        <v>0</v>
      </c>
      <c r="I6" s="300">
        <v>0</v>
      </c>
    </row>
  </sheetData>
  <mergeCells count="1">
    <mergeCell ref="A2:A6"/>
  </mergeCell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I278"/>
  <sheetViews>
    <sheetView zoomScale="80" zoomScaleNormal="80" workbookViewId="0">
      <pane xSplit="5" ySplit="10" topLeftCell="R122" activePane="bottomRight" state="frozen"/>
      <selection activeCell="D40" sqref="D40"/>
      <selection pane="topRight" activeCell="D40" sqref="D40"/>
      <selection pane="bottomLeft" activeCell="D40" sqref="D40"/>
      <selection pane="bottomRight" activeCell="X152" sqref="X152"/>
    </sheetView>
  </sheetViews>
  <sheetFormatPr defaultRowHeight="12.75" x14ac:dyDescent="0.2"/>
  <cols>
    <col min="1" max="1" width="2.42578125" style="472" customWidth="1"/>
    <col min="2" max="2" width="30.42578125" style="473" hidden="1" customWidth="1"/>
    <col min="3" max="3" width="10.85546875" style="472" bestFit="1" customWidth="1"/>
    <col min="4" max="4" width="8.28515625" style="474" customWidth="1"/>
    <col min="5" max="5" width="45.42578125" style="479" customWidth="1"/>
    <col min="6" max="9" width="11.140625" style="484" customWidth="1"/>
    <col min="10" max="10" width="2.42578125" style="484" customWidth="1"/>
    <col min="11" max="19" width="11.140625" style="484" customWidth="1"/>
    <col min="20" max="20" width="2.42578125" style="486" customWidth="1"/>
    <col min="21" max="29" width="11.140625" style="484" customWidth="1"/>
    <col min="30" max="30" width="2.42578125" style="486" customWidth="1"/>
    <col min="31" max="39" width="11.140625" style="484" customWidth="1"/>
    <col min="40" max="40" width="2.42578125" style="486" customWidth="1"/>
    <col min="41" max="49" width="11.140625" style="484" customWidth="1"/>
    <col min="50" max="50" width="2.42578125" style="486" customWidth="1"/>
    <col min="51" max="59" width="11.140625" style="484" customWidth="1"/>
    <col min="60" max="60" width="2.5703125" style="478" customWidth="1"/>
    <col min="61" max="61" width="8" style="477" hidden="1" customWidth="1"/>
    <col min="62" max="16384" width="9.140625" style="478"/>
  </cols>
  <sheetData>
    <row r="2" spans="1:61" hidden="1" x14ac:dyDescent="0.2">
      <c r="B2" s="473" t="s">
        <v>323</v>
      </c>
      <c r="C2" s="472" t="s">
        <v>324</v>
      </c>
      <c r="E2" s="475" t="s">
        <v>325</v>
      </c>
      <c r="F2" s="476" t="str">
        <f>$E$2</f>
        <v>SCUSA unadjusted</v>
      </c>
      <c r="G2" s="476" t="str">
        <f t="shared" ref="G2:I2" si="0">$E$2</f>
        <v>SCUSA unadjusted</v>
      </c>
      <c r="H2" s="476" t="str">
        <f t="shared" si="0"/>
        <v>SCUSA unadjusted</v>
      </c>
      <c r="I2" s="476" t="str">
        <f t="shared" si="0"/>
        <v>SCUSA unadjusted</v>
      </c>
      <c r="J2" s="476"/>
      <c r="K2" s="476" t="str">
        <f t="shared" ref="K2:BG2" si="1">+$E$2</f>
        <v>SCUSA unadjusted</v>
      </c>
      <c r="L2" s="476" t="str">
        <f t="shared" si="1"/>
        <v>SCUSA unadjusted</v>
      </c>
      <c r="M2" s="476" t="str">
        <f t="shared" si="1"/>
        <v>SCUSA unadjusted</v>
      </c>
      <c r="N2" s="476" t="str">
        <f t="shared" si="1"/>
        <v>SCUSA unadjusted</v>
      </c>
      <c r="O2" s="476" t="str">
        <f t="shared" si="1"/>
        <v>SCUSA unadjusted</v>
      </c>
      <c r="P2" s="476" t="str">
        <f t="shared" si="1"/>
        <v>SCUSA unadjusted</v>
      </c>
      <c r="Q2" s="476" t="str">
        <f t="shared" si="1"/>
        <v>SCUSA unadjusted</v>
      </c>
      <c r="R2" s="476" t="str">
        <f t="shared" si="1"/>
        <v>SCUSA unadjusted</v>
      </c>
      <c r="S2" s="476" t="str">
        <f t="shared" si="1"/>
        <v>SCUSA unadjusted</v>
      </c>
      <c r="T2" s="476"/>
      <c r="U2" s="476" t="str">
        <f t="shared" si="1"/>
        <v>SCUSA unadjusted</v>
      </c>
      <c r="V2" s="476" t="str">
        <f t="shared" si="1"/>
        <v>SCUSA unadjusted</v>
      </c>
      <c r="W2" s="476" t="str">
        <f t="shared" si="1"/>
        <v>SCUSA unadjusted</v>
      </c>
      <c r="X2" s="476" t="str">
        <f t="shared" si="1"/>
        <v>SCUSA unadjusted</v>
      </c>
      <c r="Y2" s="476" t="str">
        <f t="shared" si="1"/>
        <v>SCUSA unadjusted</v>
      </c>
      <c r="Z2" s="476" t="str">
        <f t="shared" si="1"/>
        <v>SCUSA unadjusted</v>
      </c>
      <c r="AA2" s="476" t="str">
        <f t="shared" si="1"/>
        <v>SCUSA unadjusted</v>
      </c>
      <c r="AB2" s="476" t="str">
        <f t="shared" si="1"/>
        <v>SCUSA unadjusted</v>
      </c>
      <c r="AC2" s="476" t="str">
        <f t="shared" si="1"/>
        <v>SCUSA unadjusted</v>
      </c>
      <c r="AD2" s="476"/>
      <c r="AE2" s="476" t="str">
        <f t="shared" si="1"/>
        <v>SCUSA unadjusted</v>
      </c>
      <c r="AF2" s="476" t="str">
        <f t="shared" si="1"/>
        <v>SCUSA unadjusted</v>
      </c>
      <c r="AG2" s="476" t="str">
        <f t="shared" si="1"/>
        <v>SCUSA unadjusted</v>
      </c>
      <c r="AH2" s="476" t="str">
        <f t="shared" si="1"/>
        <v>SCUSA unadjusted</v>
      </c>
      <c r="AI2" s="476" t="str">
        <f t="shared" si="1"/>
        <v>SCUSA unadjusted</v>
      </c>
      <c r="AJ2" s="476" t="str">
        <f t="shared" si="1"/>
        <v>SCUSA unadjusted</v>
      </c>
      <c r="AK2" s="476" t="str">
        <f t="shared" si="1"/>
        <v>SCUSA unadjusted</v>
      </c>
      <c r="AL2" s="476" t="str">
        <f t="shared" si="1"/>
        <v>SCUSA unadjusted</v>
      </c>
      <c r="AM2" s="476" t="str">
        <f t="shared" si="1"/>
        <v>SCUSA unadjusted</v>
      </c>
      <c r="AN2" s="476"/>
      <c r="AO2" s="476" t="str">
        <f t="shared" si="1"/>
        <v>SCUSA unadjusted</v>
      </c>
      <c r="AP2" s="476" t="str">
        <f t="shared" si="1"/>
        <v>SCUSA unadjusted</v>
      </c>
      <c r="AQ2" s="476" t="str">
        <f t="shared" si="1"/>
        <v>SCUSA unadjusted</v>
      </c>
      <c r="AR2" s="476" t="str">
        <f t="shared" si="1"/>
        <v>SCUSA unadjusted</v>
      </c>
      <c r="AS2" s="476" t="str">
        <f t="shared" si="1"/>
        <v>SCUSA unadjusted</v>
      </c>
      <c r="AT2" s="476" t="str">
        <f t="shared" si="1"/>
        <v>SCUSA unadjusted</v>
      </c>
      <c r="AU2" s="476" t="str">
        <f t="shared" si="1"/>
        <v>SCUSA unadjusted</v>
      </c>
      <c r="AV2" s="476" t="str">
        <f t="shared" si="1"/>
        <v>SCUSA unadjusted</v>
      </c>
      <c r="AW2" s="476" t="str">
        <f t="shared" si="1"/>
        <v>SCUSA unadjusted</v>
      </c>
      <c r="AX2" s="476"/>
      <c r="AY2" s="476" t="str">
        <f t="shared" si="1"/>
        <v>SCUSA unadjusted</v>
      </c>
      <c r="AZ2" s="476" t="str">
        <f t="shared" si="1"/>
        <v>SCUSA unadjusted</v>
      </c>
      <c r="BA2" s="476" t="str">
        <f t="shared" si="1"/>
        <v>SCUSA unadjusted</v>
      </c>
      <c r="BB2" s="476" t="str">
        <f t="shared" si="1"/>
        <v>SCUSA unadjusted</v>
      </c>
      <c r="BC2" s="476" t="str">
        <f t="shared" si="1"/>
        <v>SCUSA unadjusted</v>
      </c>
      <c r="BD2" s="476" t="str">
        <f t="shared" si="1"/>
        <v>SCUSA unadjusted</v>
      </c>
      <c r="BE2" s="476" t="str">
        <f t="shared" si="1"/>
        <v>SCUSA unadjusted</v>
      </c>
      <c r="BF2" s="476" t="str">
        <f t="shared" si="1"/>
        <v>SCUSA unadjusted</v>
      </c>
      <c r="BG2" s="476" t="str">
        <f t="shared" si="1"/>
        <v>SCUSA unadjusted</v>
      </c>
      <c r="BH2" s="475"/>
      <c r="BI2" s="477" t="s">
        <v>323</v>
      </c>
    </row>
    <row r="3" spans="1:61" hidden="1" x14ac:dyDescent="0.2">
      <c r="C3" s="472" t="s">
        <v>324</v>
      </c>
      <c r="F3" s="476" t="s">
        <v>326</v>
      </c>
      <c r="G3" s="476" t="s">
        <v>326</v>
      </c>
      <c r="H3" s="476" t="s">
        <v>326</v>
      </c>
      <c r="I3" s="476" t="s">
        <v>327</v>
      </c>
      <c r="J3" s="476"/>
      <c r="K3" s="476" t="s">
        <v>327</v>
      </c>
      <c r="L3" s="476" t="s">
        <v>327</v>
      </c>
      <c r="M3" s="476" t="s">
        <v>327</v>
      </c>
      <c r="N3" s="476" t="s">
        <v>327</v>
      </c>
      <c r="O3" s="476" t="s">
        <v>327</v>
      </c>
      <c r="P3" s="476" t="s">
        <v>327</v>
      </c>
      <c r="Q3" s="476" t="s">
        <v>327</v>
      </c>
      <c r="R3" s="476" t="s">
        <v>327</v>
      </c>
      <c r="S3" s="476" t="s">
        <v>327</v>
      </c>
      <c r="T3" s="476"/>
      <c r="U3" s="476" t="s">
        <v>327</v>
      </c>
      <c r="V3" s="476" t="s">
        <v>327</v>
      </c>
      <c r="W3" s="476" t="s">
        <v>327</v>
      </c>
      <c r="X3" s="476" t="s">
        <v>327</v>
      </c>
      <c r="Y3" s="476" t="s">
        <v>327</v>
      </c>
      <c r="Z3" s="476" t="s">
        <v>327</v>
      </c>
      <c r="AA3" s="476" t="s">
        <v>327</v>
      </c>
      <c r="AB3" s="476" t="s">
        <v>327</v>
      </c>
      <c r="AC3" s="476" t="s">
        <v>327</v>
      </c>
      <c r="AD3" s="476"/>
      <c r="AE3" s="476" t="s">
        <v>327</v>
      </c>
      <c r="AF3" s="476" t="s">
        <v>327</v>
      </c>
      <c r="AG3" s="476" t="s">
        <v>327</v>
      </c>
      <c r="AH3" s="476" t="s">
        <v>327</v>
      </c>
      <c r="AI3" s="476" t="s">
        <v>327</v>
      </c>
      <c r="AJ3" s="476" t="s">
        <v>327</v>
      </c>
      <c r="AK3" s="476" t="s">
        <v>327</v>
      </c>
      <c r="AL3" s="476" t="s">
        <v>327</v>
      </c>
      <c r="AM3" s="476" t="s">
        <v>327</v>
      </c>
      <c r="AN3" s="476"/>
      <c r="AO3" s="476" t="s">
        <v>327</v>
      </c>
      <c r="AP3" s="476" t="s">
        <v>327</v>
      </c>
      <c r="AQ3" s="476" t="s">
        <v>327</v>
      </c>
      <c r="AR3" s="476" t="s">
        <v>327</v>
      </c>
      <c r="AS3" s="476" t="s">
        <v>327</v>
      </c>
      <c r="AT3" s="476" t="s">
        <v>327</v>
      </c>
      <c r="AU3" s="476" t="s">
        <v>327</v>
      </c>
      <c r="AV3" s="476" t="s">
        <v>327</v>
      </c>
      <c r="AW3" s="476" t="s">
        <v>327</v>
      </c>
      <c r="AX3" s="476"/>
      <c r="AY3" s="476" t="s">
        <v>327</v>
      </c>
      <c r="AZ3" s="476" t="s">
        <v>327</v>
      </c>
      <c r="BA3" s="476" t="s">
        <v>327</v>
      </c>
      <c r="BB3" s="476" t="s">
        <v>327</v>
      </c>
      <c r="BC3" s="476" t="s">
        <v>327</v>
      </c>
      <c r="BD3" s="476" t="s">
        <v>327</v>
      </c>
      <c r="BE3" s="476" t="s">
        <v>327</v>
      </c>
      <c r="BF3" s="476" t="s">
        <v>327</v>
      </c>
      <c r="BG3" s="476" t="s">
        <v>327</v>
      </c>
      <c r="BH3" s="475"/>
    </row>
    <row r="4" spans="1:61" hidden="1" x14ac:dyDescent="0.2">
      <c r="C4" s="472" t="s">
        <v>324</v>
      </c>
      <c r="E4" s="475" t="s">
        <v>328</v>
      </c>
      <c r="F4" s="476" t="s">
        <v>329</v>
      </c>
      <c r="G4" s="476" t="s">
        <v>329</v>
      </c>
      <c r="H4" s="476" t="s">
        <v>329</v>
      </c>
      <c r="I4" s="476" t="s">
        <v>329</v>
      </c>
      <c r="J4" s="476"/>
      <c r="K4" s="476" t="s">
        <v>330</v>
      </c>
      <c r="L4" s="476" t="s">
        <v>330</v>
      </c>
      <c r="M4" s="476" t="s">
        <v>330</v>
      </c>
      <c r="N4" s="476" t="s">
        <v>330</v>
      </c>
      <c r="O4" s="476" t="s">
        <v>330</v>
      </c>
      <c r="P4" s="476" t="s">
        <v>330</v>
      </c>
      <c r="Q4" s="476" t="s">
        <v>330</v>
      </c>
      <c r="R4" s="476" t="s">
        <v>330</v>
      </c>
      <c r="S4" s="476" t="s">
        <v>330</v>
      </c>
      <c r="T4" s="476"/>
      <c r="U4" s="476" t="s">
        <v>331</v>
      </c>
      <c r="V4" s="476" t="s">
        <v>331</v>
      </c>
      <c r="W4" s="476" t="s">
        <v>331</v>
      </c>
      <c r="X4" s="476" t="s">
        <v>331</v>
      </c>
      <c r="Y4" s="476" t="s">
        <v>331</v>
      </c>
      <c r="Z4" s="476" t="s">
        <v>331</v>
      </c>
      <c r="AA4" s="476" t="s">
        <v>331</v>
      </c>
      <c r="AB4" s="476" t="s">
        <v>331</v>
      </c>
      <c r="AC4" s="476" t="s">
        <v>331</v>
      </c>
      <c r="AD4" s="476"/>
      <c r="AE4" s="476" t="s">
        <v>332</v>
      </c>
      <c r="AF4" s="476" t="s">
        <v>332</v>
      </c>
      <c r="AG4" s="476" t="s">
        <v>332</v>
      </c>
      <c r="AH4" s="476" t="s">
        <v>332</v>
      </c>
      <c r="AI4" s="476" t="s">
        <v>332</v>
      </c>
      <c r="AJ4" s="476" t="s">
        <v>332</v>
      </c>
      <c r="AK4" s="476" t="s">
        <v>332</v>
      </c>
      <c r="AL4" s="476" t="s">
        <v>332</v>
      </c>
      <c r="AM4" s="476" t="s">
        <v>332</v>
      </c>
      <c r="AN4" s="476"/>
      <c r="AO4" s="476" t="s">
        <v>333</v>
      </c>
      <c r="AP4" s="476" t="s">
        <v>333</v>
      </c>
      <c r="AQ4" s="476" t="s">
        <v>333</v>
      </c>
      <c r="AR4" s="476" t="s">
        <v>333</v>
      </c>
      <c r="AS4" s="476" t="s">
        <v>333</v>
      </c>
      <c r="AT4" s="476" t="s">
        <v>333</v>
      </c>
      <c r="AU4" s="476" t="s">
        <v>333</v>
      </c>
      <c r="AV4" s="476" t="s">
        <v>333</v>
      </c>
      <c r="AW4" s="476" t="s">
        <v>333</v>
      </c>
      <c r="AX4" s="476"/>
      <c r="AY4" s="476" t="s">
        <v>334</v>
      </c>
      <c r="AZ4" s="476" t="s">
        <v>334</v>
      </c>
      <c r="BA4" s="476" t="s">
        <v>334</v>
      </c>
      <c r="BB4" s="476" t="s">
        <v>334</v>
      </c>
      <c r="BC4" s="476" t="s">
        <v>334</v>
      </c>
      <c r="BD4" s="476" t="s">
        <v>334</v>
      </c>
      <c r="BE4" s="476" t="s">
        <v>334</v>
      </c>
      <c r="BF4" s="476" t="s">
        <v>334</v>
      </c>
      <c r="BG4" s="476" t="s">
        <v>334</v>
      </c>
      <c r="BH4" s="475"/>
    </row>
    <row r="5" spans="1:61" hidden="1" x14ac:dyDescent="0.2">
      <c r="C5" s="472" t="s">
        <v>324</v>
      </c>
      <c r="E5" s="475" t="s">
        <v>335</v>
      </c>
      <c r="F5" s="476" t="s">
        <v>336</v>
      </c>
      <c r="G5" s="476" t="s">
        <v>337</v>
      </c>
      <c r="H5" s="476" t="s">
        <v>338</v>
      </c>
      <c r="I5" s="476" t="s">
        <v>339</v>
      </c>
      <c r="J5" s="476"/>
      <c r="K5" s="476" t="s">
        <v>340</v>
      </c>
      <c r="L5" s="476" t="s">
        <v>341</v>
      </c>
      <c r="M5" s="476" t="s">
        <v>342</v>
      </c>
      <c r="N5" s="476" t="s">
        <v>343</v>
      </c>
      <c r="O5" s="476" t="s">
        <v>344</v>
      </c>
      <c r="P5" s="476" t="s">
        <v>345</v>
      </c>
      <c r="Q5" s="476" t="s">
        <v>346</v>
      </c>
      <c r="R5" s="476" t="s">
        <v>347</v>
      </c>
      <c r="S5" s="476" t="s">
        <v>348</v>
      </c>
      <c r="T5" s="476"/>
      <c r="U5" s="476" t="s">
        <v>340</v>
      </c>
      <c r="V5" s="476" t="s">
        <v>341</v>
      </c>
      <c r="W5" s="476" t="s">
        <v>342</v>
      </c>
      <c r="X5" s="476" t="s">
        <v>343</v>
      </c>
      <c r="Y5" s="476" t="s">
        <v>344</v>
      </c>
      <c r="Z5" s="476" t="s">
        <v>345</v>
      </c>
      <c r="AA5" s="476" t="s">
        <v>346</v>
      </c>
      <c r="AB5" s="476" t="s">
        <v>347</v>
      </c>
      <c r="AC5" s="476" t="s">
        <v>348</v>
      </c>
      <c r="AD5" s="476"/>
      <c r="AE5" s="476" t="s">
        <v>340</v>
      </c>
      <c r="AF5" s="476" t="s">
        <v>341</v>
      </c>
      <c r="AG5" s="476" t="s">
        <v>342</v>
      </c>
      <c r="AH5" s="476" t="s">
        <v>343</v>
      </c>
      <c r="AI5" s="476" t="s">
        <v>344</v>
      </c>
      <c r="AJ5" s="476" t="s">
        <v>345</v>
      </c>
      <c r="AK5" s="476" t="s">
        <v>346</v>
      </c>
      <c r="AL5" s="476" t="s">
        <v>347</v>
      </c>
      <c r="AM5" s="476" t="s">
        <v>348</v>
      </c>
      <c r="AN5" s="476"/>
      <c r="AO5" s="476" t="s">
        <v>340</v>
      </c>
      <c r="AP5" s="476" t="s">
        <v>341</v>
      </c>
      <c r="AQ5" s="476" t="s">
        <v>342</v>
      </c>
      <c r="AR5" s="476" t="s">
        <v>343</v>
      </c>
      <c r="AS5" s="476" t="s">
        <v>344</v>
      </c>
      <c r="AT5" s="476" t="s">
        <v>345</v>
      </c>
      <c r="AU5" s="476" t="s">
        <v>346</v>
      </c>
      <c r="AV5" s="476" t="s">
        <v>347</v>
      </c>
      <c r="AW5" s="476" t="s">
        <v>348</v>
      </c>
      <c r="AX5" s="476"/>
      <c r="AY5" s="476" t="s">
        <v>340</v>
      </c>
      <c r="AZ5" s="476" t="s">
        <v>341</v>
      </c>
      <c r="BA5" s="476" t="s">
        <v>342</v>
      </c>
      <c r="BB5" s="476" t="s">
        <v>343</v>
      </c>
      <c r="BC5" s="476" t="s">
        <v>344</v>
      </c>
      <c r="BD5" s="476" t="s">
        <v>345</v>
      </c>
      <c r="BE5" s="476" t="s">
        <v>346</v>
      </c>
      <c r="BF5" s="476" t="s">
        <v>347</v>
      </c>
      <c r="BG5" s="476" t="s">
        <v>348</v>
      </c>
      <c r="BH5" s="475"/>
    </row>
    <row r="6" spans="1:61" hidden="1" x14ac:dyDescent="0.2">
      <c r="C6" s="472" t="s">
        <v>324</v>
      </c>
      <c r="E6" s="475"/>
      <c r="F6" s="476" t="s">
        <v>349</v>
      </c>
      <c r="G6" s="476" t="s">
        <v>349</v>
      </c>
      <c r="H6" s="476" t="s">
        <v>349</v>
      </c>
      <c r="I6" s="476" t="s">
        <v>350</v>
      </c>
      <c r="J6" s="476"/>
      <c r="K6" s="476" t="s">
        <v>198</v>
      </c>
      <c r="L6" s="476" t="s">
        <v>199</v>
      </c>
      <c r="M6" s="476" t="s">
        <v>200</v>
      </c>
      <c r="N6" s="476" t="s">
        <v>201</v>
      </c>
      <c r="O6" s="476" t="s">
        <v>202</v>
      </c>
      <c r="P6" s="476" t="s">
        <v>203</v>
      </c>
      <c r="Q6" s="476" t="s">
        <v>204</v>
      </c>
      <c r="R6" s="476" t="s">
        <v>205</v>
      </c>
      <c r="S6" s="476" t="s">
        <v>206</v>
      </c>
      <c r="T6" s="476"/>
      <c r="U6" s="476" t="s">
        <v>198</v>
      </c>
      <c r="V6" s="476" t="s">
        <v>199</v>
      </c>
      <c r="W6" s="476" t="s">
        <v>200</v>
      </c>
      <c r="X6" s="476" t="s">
        <v>201</v>
      </c>
      <c r="Y6" s="476" t="s">
        <v>202</v>
      </c>
      <c r="Z6" s="476" t="s">
        <v>203</v>
      </c>
      <c r="AA6" s="476" t="s">
        <v>204</v>
      </c>
      <c r="AB6" s="476" t="s">
        <v>205</v>
      </c>
      <c r="AC6" s="476" t="s">
        <v>206</v>
      </c>
      <c r="AD6" s="476"/>
      <c r="AE6" s="476" t="s">
        <v>198</v>
      </c>
      <c r="AF6" s="476" t="s">
        <v>199</v>
      </c>
      <c r="AG6" s="476" t="s">
        <v>200</v>
      </c>
      <c r="AH6" s="476" t="s">
        <v>201</v>
      </c>
      <c r="AI6" s="476" t="s">
        <v>202</v>
      </c>
      <c r="AJ6" s="476" t="s">
        <v>203</v>
      </c>
      <c r="AK6" s="476" t="s">
        <v>204</v>
      </c>
      <c r="AL6" s="476" t="s">
        <v>205</v>
      </c>
      <c r="AM6" s="476" t="s">
        <v>206</v>
      </c>
      <c r="AN6" s="476"/>
      <c r="AO6" s="476" t="s">
        <v>198</v>
      </c>
      <c r="AP6" s="476" t="s">
        <v>199</v>
      </c>
      <c r="AQ6" s="476" t="s">
        <v>200</v>
      </c>
      <c r="AR6" s="476" t="s">
        <v>201</v>
      </c>
      <c r="AS6" s="476" t="s">
        <v>202</v>
      </c>
      <c r="AT6" s="476" t="s">
        <v>203</v>
      </c>
      <c r="AU6" s="476" t="s">
        <v>204</v>
      </c>
      <c r="AV6" s="476" t="s">
        <v>205</v>
      </c>
      <c r="AW6" s="476" t="s">
        <v>206</v>
      </c>
      <c r="AX6" s="476"/>
      <c r="AY6" s="476" t="s">
        <v>198</v>
      </c>
      <c r="AZ6" s="476" t="s">
        <v>199</v>
      </c>
      <c r="BA6" s="476" t="s">
        <v>200</v>
      </c>
      <c r="BB6" s="476" t="s">
        <v>201</v>
      </c>
      <c r="BC6" s="476" t="s">
        <v>202</v>
      </c>
      <c r="BD6" s="476" t="s">
        <v>203</v>
      </c>
      <c r="BE6" s="476" t="s">
        <v>204</v>
      </c>
      <c r="BF6" s="476" t="s">
        <v>205</v>
      </c>
      <c r="BG6" s="476" t="s">
        <v>206</v>
      </c>
      <c r="BH6" s="475"/>
    </row>
    <row r="7" spans="1:61" s="472" customFormat="1" x14ac:dyDescent="0.2">
      <c r="B7" s="473"/>
      <c r="C7" s="473"/>
      <c r="D7" s="480" t="str">
        <f>$E$2</f>
        <v>SCUSA unadjusted</v>
      </c>
      <c r="E7" s="481"/>
      <c r="F7" s="482"/>
      <c r="G7" s="482"/>
      <c r="H7" s="482"/>
      <c r="I7" s="483" t="str">
        <f>+$I$4</f>
        <v>No Scenario</v>
      </c>
      <c r="J7" s="484"/>
      <c r="K7" s="485" t="str">
        <f>+$D$7</f>
        <v>SCUSA unadjusted</v>
      </c>
      <c r="L7" s="483"/>
      <c r="M7" s="483"/>
      <c r="N7" s="483"/>
      <c r="O7" s="483"/>
      <c r="P7" s="483"/>
      <c r="Q7" s="483"/>
      <c r="R7" s="483"/>
      <c r="S7" s="483" t="str">
        <f>+$S$4</f>
        <v>BHC Base - Planned Actions</v>
      </c>
      <c r="T7" s="486"/>
      <c r="U7" s="485" t="str">
        <f>+$D$7</f>
        <v>SCUSA unadjusted</v>
      </c>
      <c r="V7" s="483"/>
      <c r="W7" s="483"/>
      <c r="X7" s="483"/>
      <c r="Y7" s="483"/>
      <c r="Z7" s="483"/>
      <c r="AA7" s="483"/>
      <c r="AB7" s="483"/>
      <c r="AC7" s="483" t="str">
        <f>+$AC$4</f>
        <v>BHC Stress - Alternative Actions</v>
      </c>
      <c r="AD7" s="486"/>
      <c r="AE7" s="485" t="str">
        <f>+$D$7</f>
        <v>SCUSA unadjusted</v>
      </c>
      <c r="AF7" s="483"/>
      <c r="AG7" s="483"/>
      <c r="AH7" s="483"/>
      <c r="AI7" s="483"/>
      <c r="AJ7" s="483"/>
      <c r="AK7" s="483"/>
      <c r="AL7" s="483"/>
      <c r="AM7" s="483" t="str">
        <f>+$AM$4</f>
        <v>FRB Base - Planned Actions</v>
      </c>
      <c r="AN7" s="486"/>
      <c r="AO7" s="485" t="str">
        <f>+$D$7</f>
        <v>SCUSA unadjusted</v>
      </c>
      <c r="AP7" s="483"/>
      <c r="AQ7" s="483"/>
      <c r="AR7" s="483"/>
      <c r="AS7" s="483"/>
      <c r="AT7" s="483"/>
      <c r="AU7" s="483"/>
      <c r="AV7" s="483"/>
      <c r="AW7" s="483" t="str">
        <f>+$AW$4</f>
        <v>FRB Adverse - Planned Actions</v>
      </c>
      <c r="AX7" s="486"/>
      <c r="AY7" s="485" t="str">
        <f>+$D$7</f>
        <v>SCUSA unadjusted</v>
      </c>
      <c r="AZ7" s="483"/>
      <c r="BA7" s="483"/>
      <c r="BB7" s="483"/>
      <c r="BC7" s="483"/>
      <c r="BD7" s="483"/>
      <c r="BE7" s="483"/>
      <c r="BF7" s="483"/>
      <c r="BG7" s="483" t="str">
        <f>+$BG$4</f>
        <v>FRB Severely Adverse - Planned Actions</v>
      </c>
      <c r="BI7" s="487"/>
    </row>
    <row r="8" spans="1:61" s="472" customFormat="1" x14ac:dyDescent="0.2">
      <c r="B8" s="473"/>
      <c r="C8" s="473"/>
      <c r="D8" s="488" t="str">
        <f>+CONCATENATE("Capital Worksheet",$E$6)</f>
        <v>Capital Worksheet</v>
      </c>
      <c r="E8" s="489"/>
      <c r="F8" s="490"/>
      <c r="G8" s="490"/>
      <c r="H8" s="490"/>
      <c r="I8" s="490"/>
      <c r="J8" s="484"/>
      <c r="K8" s="491" t="str">
        <f>+$D$8</f>
        <v>Capital Worksheet</v>
      </c>
      <c r="L8" s="490"/>
      <c r="M8" s="490"/>
      <c r="N8" s="490"/>
      <c r="O8" s="490"/>
      <c r="P8" s="490"/>
      <c r="Q8" s="490"/>
      <c r="R8" s="490"/>
      <c r="S8" s="490"/>
      <c r="T8" s="486"/>
      <c r="U8" s="491" t="str">
        <f>+$D$8</f>
        <v>Capital Worksheet</v>
      </c>
      <c r="V8" s="490"/>
      <c r="W8" s="490"/>
      <c r="X8" s="490"/>
      <c r="Y8" s="490"/>
      <c r="Z8" s="490"/>
      <c r="AA8" s="490"/>
      <c r="AB8" s="490"/>
      <c r="AC8" s="490"/>
      <c r="AD8" s="486"/>
      <c r="AE8" s="491" t="str">
        <f>+$D$8</f>
        <v>Capital Worksheet</v>
      </c>
      <c r="AF8" s="490"/>
      <c r="AG8" s="490"/>
      <c r="AH8" s="490"/>
      <c r="AI8" s="490"/>
      <c r="AJ8" s="490"/>
      <c r="AK8" s="490"/>
      <c r="AL8" s="490"/>
      <c r="AM8" s="490"/>
      <c r="AN8" s="486"/>
      <c r="AO8" s="491" t="str">
        <f>+$D$8</f>
        <v>Capital Worksheet</v>
      </c>
      <c r="AP8" s="490"/>
      <c r="AQ8" s="490"/>
      <c r="AR8" s="490"/>
      <c r="AS8" s="490"/>
      <c r="AT8" s="490"/>
      <c r="AU8" s="490"/>
      <c r="AV8" s="490"/>
      <c r="AW8" s="490"/>
      <c r="AX8" s="486"/>
      <c r="AY8" s="491" t="str">
        <f>+$D$8</f>
        <v>Capital Worksheet</v>
      </c>
      <c r="AZ8" s="490"/>
      <c r="BA8" s="490"/>
      <c r="BB8" s="490"/>
      <c r="BC8" s="490"/>
      <c r="BD8" s="490"/>
      <c r="BE8" s="490"/>
      <c r="BF8" s="490"/>
      <c r="BG8" s="490"/>
      <c r="BI8" s="487"/>
    </row>
    <row r="9" spans="1:61" x14ac:dyDescent="0.2">
      <c r="C9" s="473"/>
      <c r="E9" s="492"/>
      <c r="F9" s="493">
        <v>42094</v>
      </c>
      <c r="G9" s="493">
        <v>42185</v>
      </c>
      <c r="H9" s="493">
        <v>42277</v>
      </c>
      <c r="I9" s="493">
        <v>42369</v>
      </c>
      <c r="K9" s="494" t="s">
        <v>330</v>
      </c>
      <c r="L9" s="494"/>
      <c r="M9" s="494"/>
      <c r="N9" s="494"/>
      <c r="O9" s="494"/>
      <c r="P9" s="494"/>
      <c r="Q9" s="494"/>
      <c r="R9" s="494"/>
      <c r="S9" s="494"/>
      <c r="U9" s="494" t="s">
        <v>331</v>
      </c>
      <c r="V9" s="494"/>
      <c r="W9" s="494"/>
      <c r="X9" s="494"/>
      <c r="Y9" s="494"/>
      <c r="Z9" s="494"/>
      <c r="AA9" s="494"/>
      <c r="AB9" s="494"/>
      <c r="AC9" s="494"/>
      <c r="AE9" s="494" t="s">
        <v>332</v>
      </c>
      <c r="AF9" s="494"/>
      <c r="AG9" s="494"/>
      <c r="AH9" s="494"/>
      <c r="AI9" s="494"/>
      <c r="AJ9" s="494"/>
      <c r="AK9" s="494"/>
      <c r="AL9" s="494"/>
      <c r="AM9" s="494"/>
      <c r="AO9" s="494" t="s">
        <v>333</v>
      </c>
      <c r="AP9" s="494"/>
      <c r="AQ9" s="494"/>
      <c r="AR9" s="494"/>
      <c r="AS9" s="494"/>
      <c r="AT9" s="494"/>
      <c r="AU9" s="494"/>
      <c r="AV9" s="494"/>
      <c r="AW9" s="494"/>
      <c r="AY9" s="494" t="s">
        <v>334</v>
      </c>
      <c r="AZ9" s="494"/>
      <c r="BA9" s="494"/>
      <c r="BB9" s="494"/>
      <c r="BC9" s="494"/>
      <c r="BD9" s="494"/>
      <c r="BE9" s="494"/>
      <c r="BF9" s="494"/>
      <c r="BG9" s="494"/>
    </row>
    <row r="10" spans="1:61" ht="13.5" thickBot="1" x14ac:dyDescent="0.25">
      <c r="A10" s="495"/>
      <c r="B10" s="495"/>
      <c r="C10" s="495" t="s">
        <v>351</v>
      </c>
      <c r="D10" s="496" t="s">
        <v>352</v>
      </c>
      <c r="E10" s="497"/>
      <c r="F10" s="498" t="s">
        <v>349</v>
      </c>
      <c r="G10" s="498" t="s">
        <v>349</v>
      </c>
      <c r="H10" s="498" t="s">
        <v>349</v>
      </c>
      <c r="I10" s="498" t="s">
        <v>350</v>
      </c>
      <c r="K10" s="498" t="s">
        <v>198</v>
      </c>
      <c r="L10" s="498" t="s">
        <v>199</v>
      </c>
      <c r="M10" s="498" t="s">
        <v>200</v>
      </c>
      <c r="N10" s="498" t="s">
        <v>201</v>
      </c>
      <c r="O10" s="498" t="s">
        <v>202</v>
      </c>
      <c r="P10" s="498" t="s">
        <v>203</v>
      </c>
      <c r="Q10" s="498" t="s">
        <v>204</v>
      </c>
      <c r="R10" s="498" t="s">
        <v>205</v>
      </c>
      <c r="S10" s="498" t="s">
        <v>206</v>
      </c>
      <c r="T10" s="482"/>
      <c r="U10" s="498" t="s">
        <v>198</v>
      </c>
      <c r="V10" s="498" t="s">
        <v>199</v>
      </c>
      <c r="W10" s="498" t="s">
        <v>200</v>
      </c>
      <c r="X10" s="498" t="s">
        <v>201</v>
      </c>
      <c r="Y10" s="498" t="s">
        <v>202</v>
      </c>
      <c r="Z10" s="498" t="s">
        <v>203</v>
      </c>
      <c r="AA10" s="498" t="s">
        <v>204</v>
      </c>
      <c r="AB10" s="498" t="s">
        <v>205</v>
      </c>
      <c r="AC10" s="498" t="s">
        <v>206</v>
      </c>
      <c r="AD10" s="482"/>
      <c r="AE10" s="498" t="s">
        <v>198</v>
      </c>
      <c r="AF10" s="498" t="s">
        <v>199</v>
      </c>
      <c r="AG10" s="498" t="s">
        <v>200</v>
      </c>
      <c r="AH10" s="498" t="s">
        <v>201</v>
      </c>
      <c r="AI10" s="498" t="s">
        <v>202</v>
      </c>
      <c r="AJ10" s="498" t="s">
        <v>203</v>
      </c>
      <c r="AK10" s="498" t="s">
        <v>204</v>
      </c>
      <c r="AL10" s="498" t="s">
        <v>205</v>
      </c>
      <c r="AM10" s="498" t="s">
        <v>206</v>
      </c>
      <c r="AN10" s="482"/>
      <c r="AO10" s="498" t="s">
        <v>198</v>
      </c>
      <c r="AP10" s="498" t="s">
        <v>199</v>
      </c>
      <c r="AQ10" s="498" t="s">
        <v>200</v>
      </c>
      <c r="AR10" s="498" t="s">
        <v>201</v>
      </c>
      <c r="AS10" s="498" t="s">
        <v>202</v>
      </c>
      <c r="AT10" s="498" t="s">
        <v>203</v>
      </c>
      <c r="AU10" s="498" t="s">
        <v>204</v>
      </c>
      <c r="AV10" s="498" t="s">
        <v>205</v>
      </c>
      <c r="AW10" s="498" t="s">
        <v>206</v>
      </c>
      <c r="AX10" s="482"/>
      <c r="AY10" s="498" t="s">
        <v>198</v>
      </c>
      <c r="AZ10" s="498" t="s">
        <v>199</v>
      </c>
      <c r="BA10" s="498" t="s">
        <v>200</v>
      </c>
      <c r="BB10" s="498" t="s">
        <v>201</v>
      </c>
      <c r="BC10" s="498" t="s">
        <v>202</v>
      </c>
      <c r="BD10" s="498" t="s">
        <v>203</v>
      </c>
      <c r="BE10" s="498" t="s">
        <v>204</v>
      </c>
      <c r="BF10" s="498" t="s">
        <v>205</v>
      </c>
      <c r="BG10" s="498" t="s">
        <v>206</v>
      </c>
    </row>
    <row r="11" spans="1:61" ht="13.5" thickTop="1" x14ac:dyDescent="0.2">
      <c r="D11" s="499"/>
      <c r="E11" s="500" t="s">
        <v>353</v>
      </c>
      <c r="F11" s="501"/>
      <c r="G11" s="501"/>
      <c r="H11" s="501"/>
      <c r="I11" s="501"/>
      <c r="K11" s="501"/>
      <c r="L11" s="501"/>
      <c r="M11" s="501"/>
      <c r="N11" s="501"/>
      <c r="O11" s="501"/>
      <c r="P11" s="501"/>
      <c r="Q11" s="501"/>
      <c r="R11" s="501"/>
      <c r="S11" s="501"/>
      <c r="U11" s="501"/>
      <c r="V11" s="501"/>
      <c r="W11" s="501"/>
      <c r="X11" s="501"/>
      <c r="Y11" s="501"/>
      <c r="Z11" s="501"/>
      <c r="AA11" s="501"/>
      <c r="AB11" s="501"/>
      <c r="AC11" s="501"/>
      <c r="AE11" s="501"/>
      <c r="AF11" s="501"/>
      <c r="AG11" s="501"/>
      <c r="AH11" s="501"/>
      <c r="AI11" s="501"/>
      <c r="AJ11" s="501"/>
      <c r="AK11" s="501"/>
      <c r="AL11" s="501"/>
      <c r="AM11" s="501"/>
      <c r="AO11" s="501"/>
      <c r="AP11" s="501"/>
      <c r="AQ11" s="501"/>
      <c r="AR11" s="501"/>
      <c r="AS11" s="501"/>
      <c r="AT11" s="501"/>
      <c r="AU11" s="501"/>
      <c r="AV11" s="501"/>
      <c r="AW11" s="501"/>
      <c r="AY11" s="501"/>
      <c r="AZ11" s="501"/>
      <c r="BA11" s="501"/>
      <c r="BB11" s="501"/>
      <c r="BC11" s="501"/>
      <c r="BD11" s="501"/>
      <c r="BE11" s="501"/>
      <c r="BF11" s="501"/>
      <c r="BG11" s="501"/>
    </row>
    <row r="12" spans="1:61" x14ac:dyDescent="0.2">
      <c r="B12" s="475" t="s">
        <v>354</v>
      </c>
      <c r="C12" s="472" t="s">
        <v>355</v>
      </c>
      <c r="D12" s="502" t="s">
        <v>356</v>
      </c>
      <c r="E12" s="503" t="s">
        <v>357</v>
      </c>
      <c r="F12" s="504">
        <v>3558.3490000000002</v>
      </c>
      <c r="G12" s="505">
        <v>3850.48</v>
      </c>
      <c r="H12" s="505">
        <v>4245.4470000000001</v>
      </c>
      <c r="I12" s="505">
        <v>4360.8419999999996</v>
      </c>
      <c r="J12" s="506"/>
      <c r="K12" s="505">
        <v>4424.9639999999999</v>
      </c>
      <c r="L12" s="505">
        <v>4848.4769999999999</v>
      </c>
      <c r="M12" s="505">
        <v>5083.6109999999999</v>
      </c>
      <c r="N12" s="505">
        <v>5323.9949999999999</v>
      </c>
      <c r="O12" s="505">
        <v>5505.6689999999999</v>
      </c>
      <c r="P12" s="505">
        <v>5799.2910000000002</v>
      </c>
      <c r="Q12" s="505">
        <v>6131.4120000000003</v>
      </c>
      <c r="R12" s="505">
        <v>6366.7560000000003</v>
      </c>
      <c r="S12" s="505">
        <v>6624.3289999999997</v>
      </c>
      <c r="T12" s="506"/>
      <c r="U12" s="505">
        <v>4424.9639999999999</v>
      </c>
      <c r="V12" s="505">
        <v>4235.1189999999997</v>
      </c>
      <c r="W12" s="505">
        <v>3759.6309999999999</v>
      </c>
      <c r="X12" s="505">
        <v>3410.0349999999999</v>
      </c>
      <c r="Y12" s="505">
        <v>3146.41</v>
      </c>
      <c r="Z12" s="505">
        <v>3131.1640000000002</v>
      </c>
      <c r="AA12" s="505">
        <v>3171.5349999999999</v>
      </c>
      <c r="AB12" s="505">
        <v>2954.7579999999998</v>
      </c>
      <c r="AC12" s="505">
        <v>2753.22</v>
      </c>
      <c r="AD12" s="506"/>
      <c r="AE12" s="505">
        <v>4424.9639999999999</v>
      </c>
      <c r="AF12" s="505">
        <v>4848.4769999999999</v>
      </c>
      <c r="AG12" s="505">
        <v>5083.6109999999999</v>
      </c>
      <c r="AH12" s="505">
        <v>5323.9949999999999</v>
      </c>
      <c r="AI12" s="505">
        <v>5505.6689999999999</v>
      </c>
      <c r="AJ12" s="505">
        <v>5799.2910000000002</v>
      </c>
      <c r="AK12" s="505">
        <v>6131.4120000000003</v>
      </c>
      <c r="AL12" s="505">
        <v>6366.7560000000003</v>
      </c>
      <c r="AM12" s="505">
        <v>6624.3289999999997</v>
      </c>
      <c r="AN12" s="506"/>
      <c r="AO12" s="505">
        <v>4424.9639999999999</v>
      </c>
      <c r="AP12" s="505">
        <v>4402.2259999999997</v>
      </c>
      <c r="AQ12" s="505">
        <v>4476.5690000000004</v>
      </c>
      <c r="AR12" s="505">
        <v>4543.835</v>
      </c>
      <c r="AS12" s="505">
        <v>4613.7269999999999</v>
      </c>
      <c r="AT12" s="505">
        <v>4778.4390000000003</v>
      </c>
      <c r="AU12" s="505">
        <v>4946.8869999999997</v>
      </c>
      <c r="AV12" s="505">
        <v>5016.5540000000001</v>
      </c>
      <c r="AW12" s="505">
        <v>5055.5389999999998</v>
      </c>
      <c r="AX12" s="506"/>
      <c r="AY12" s="505">
        <v>4424.9639999999999</v>
      </c>
      <c r="AZ12" s="505">
        <v>4247.6909999999998</v>
      </c>
      <c r="BA12" s="505">
        <v>3671.8110000000001</v>
      </c>
      <c r="BB12" s="505">
        <v>3504.2840000000001</v>
      </c>
      <c r="BC12" s="505">
        <v>3316.4070000000002</v>
      </c>
      <c r="BD12" s="505">
        <v>3436.22</v>
      </c>
      <c r="BE12" s="505">
        <v>3466.77</v>
      </c>
      <c r="BF12" s="505">
        <v>3326.223</v>
      </c>
      <c r="BG12" s="505">
        <v>3147.1570000000002</v>
      </c>
      <c r="BI12" s="477" t="s">
        <v>358</v>
      </c>
    </row>
    <row r="13" spans="1:61" x14ac:dyDescent="0.2">
      <c r="B13" s="475" t="s">
        <v>359</v>
      </c>
      <c r="C13" s="472" t="s">
        <v>360</v>
      </c>
      <c r="D13" s="507" t="s">
        <v>361</v>
      </c>
      <c r="E13" s="503" t="s">
        <v>362</v>
      </c>
      <c r="F13" s="504">
        <v>0</v>
      </c>
      <c r="G13" s="505">
        <v>0</v>
      </c>
      <c r="H13" s="505">
        <v>0</v>
      </c>
      <c r="I13" s="505">
        <v>51.863</v>
      </c>
      <c r="J13" s="506"/>
      <c r="K13" s="505">
        <v>0</v>
      </c>
      <c r="L13" s="505">
        <v>0</v>
      </c>
      <c r="M13" s="505">
        <v>0</v>
      </c>
      <c r="N13" s="505">
        <v>0</v>
      </c>
      <c r="O13" s="505">
        <v>0</v>
      </c>
      <c r="P13" s="505">
        <v>0</v>
      </c>
      <c r="Q13" s="505">
        <v>0</v>
      </c>
      <c r="R13" s="505">
        <v>0</v>
      </c>
      <c r="S13" s="505">
        <v>0</v>
      </c>
      <c r="T13" s="506"/>
      <c r="U13" s="505">
        <v>0</v>
      </c>
      <c r="V13" s="505">
        <v>0</v>
      </c>
      <c r="W13" s="505">
        <v>0</v>
      </c>
      <c r="X13" s="505">
        <v>0</v>
      </c>
      <c r="Y13" s="505">
        <v>0</v>
      </c>
      <c r="Z13" s="505">
        <v>0</v>
      </c>
      <c r="AA13" s="505">
        <v>0</v>
      </c>
      <c r="AB13" s="505">
        <v>0</v>
      </c>
      <c r="AC13" s="505">
        <v>0</v>
      </c>
      <c r="AD13" s="506"/>
      <c r="AE13" s="505">
        <v>0</v>
      </c>
      <c r="AF13" s="505">
        <v>0</v>
      </c>
      <c r="AG13" s="505">
        <v>0</v>
      </c>
      <c r="AH13" s="505">
        <v>0</v>
      </c>
      <c r="AI13" s="505">
        <v>0</v>
      </c>
      <c r="AJ13" s="505">
        <v>0</v>
      </c>
      <c r="AK13" s="505">
        <v>0</v>
      </c>
      <c r="AL13" s="505">
        <v>0</v>
      </c>
      <c r="AM13" s="505">
        <v>0</v>
      </c>
      <c r="AN13" s="506"/>
      <c r="AO13" s="505">
        <v>0</v>
      </c>
      <c r="AP13" s="505">
        <v>0</v>
      </c>
      <c r="AQ13" s="505">
        <v>0</v>
      </c>
      <c r="AR13" s="505">
        <v>0</v>
      </c>
      <c r="AS13" s="505">
        <v>0</v>
      </c>
      <c r="AT13" s="505">
        <v>0</v>
      </c>
      <c r="AU13" s="505">
        <v>0</v>
      </c>
      <c r="AV13" s="505">
        <v>0</v>
      </c>
      <c r="AW13" s="505">
        <v>0</v>
      </c>
      <c r="AX13" s="506"/>
      <c r="AY13" s="505">
        <v>0</v>
      </c>
      <c r="AZ13" s="505">
        <v>0</v>
      </c>
      <c r="BA13" s="505">
        <v>0</v>
      </c>
      <c r="BB13" s="505">
        <v>0</v>
      </c>
      <c r="BC13" s="505">
        <v>0</v>
      </c>
      <c r="BD13" s="505">
        <v>0</v>
      </c>
      <c r="BE13" s="505">
        <v>0</v>
      </c>
      <c r="BF13" s="505">
        <v>0</v>
      </c>
      <c r="BG13" s="505">
        <v>0</v>
      </c>
      <c r="BI13" s="477" t="s">
        <v>358</v>
      </c>
    </row>
    <row r="14" spans="1:61" x14ac:dyDescent="0.2">
      <c r="B14" s="475" t="s">
        <v>363</v>
      </c>
      <c r="C14" s="472" t="s">
        <v>364</v>
      </c>
      <c r="D14" s="502" t="s">
        <v>365</v>
      </c>
      <c r="E14" s="503" t="s">
        <v>366</v>
      </c>
      <c r="F14" s="504">
        <v>3558.3490000000002</v>
      </c>
      <c r="G14" s="505">
        <v>3850.48</v>
      </c>
      <c r="H14" s="505">
        <v>4245.4470000000001</v>
      </c>
      <c r="I14" s="505">
        <v>4412.7049999999999</v>
      </c>
      <c r="J14" s="506"/>
      <c r="K14" s="505">
        <v>4424.9639999999999</v>
      </c>
      <c r="L14" s="505">
        <v>4848.4769999999999</v>
      </c>
      <c r="M14" s="505">
        <v>5083.6109999999999</v>
      </c>
      <c r="N14" s="505">
        <v>5323.9949999999999</v>
      </c>
      <c r="O14" s="505">
        <v>5505.6689999999999</v>
      </c>
      <c r="P14" s="505">
        <v>5799.2910000000002</v>
      </c>
      <c r="Q14" s="505">
        <v>6131.4120000000003</v>
      </c>
      <c r="R14" s="505">
        <v>6366.7560000000003</v>
      </c>
      <c r="S14" s="505">
        <v>6624.3289999999997</v>
      </c>
      <c r="T14" s="506"/>
      <c r="U14" s="505">
        <v>4424.9639999999999</v>
      </c>
      <c r="V14" s="505">
        <v>4235.1189999999997</v>
      </c>
      <c r="W14" s="505">
        <v>3759.6309999999999</v>
      </c>
      <c r="X14" s="505">
        <v>3410.0349999999999</v>
      </c>
      <c r="Y14" s="505">
        <v>3146.41</v>
      </c>
      <c r="Z14" s="505">
        <v>3131.1640000000002</v>
      </c>
      <c r="AA14" s="505">
        <v>3171.5349999999999</v>
      </c>
      <c r="AB14" s="505">
        <v>2954.7579999999998</v>
      </c>
      <c r="AC14" s="505">
        <v>2753.22</v>
      </c>
      <c r="AD14" s="506"/>
      <c r="AE14" s="505">
        <v>4424.9639999999999</v>
      </c>
      <c r="AF14" s="505">
        <v>4848.4769999999999</v>
      </c>
      <c r="AG14" s="505">
        <v>5083.6109999999999</v>
      </c>
      <c r="AH14" s="505">
        <v>5323.9949999999999</v>
      </c>
      <c r="AI14" s="505">
        <v>5505.6689999999999</v>
      </c>
      <c r="AJ14" s="505">
        <v>5799.2910000000002</v>
      </c>
      <c r="AK14" s="505">
        <v>6131.4120000000003</v>
      </c>
      <c r="AL14" s="505">
        <v>6366.7560000000003</v>
      </c>
      <c r="AM14" s="505">
        <v>6624.3289999999997</v>
      </c>
      <c r="AN14" s="506"/>
      <c r="AO14" s="505">
        <v>4424.9639999999999</v>
      </c>
      <c r="AP14" s="505">
        <v>4402.2259999999997</v>
      </c>
      <c r="AQ14" s="505">
        <v>4476.5690000000004</v>
      </c>
      <c r="AR14" s="505">
        <v>4543.835</v>
      </c>
      <c r="AS14" s="505">
        <v>4613.7269999999999</v>
      </c>
      <c r="AT14" s="505">
        <v>4778.4390000000003</v>
      </c>
      <c r="AU14" s="505">
        <v>4946.8869999999997</v>
      </c>
      <c r="AV14" s="505">
        <v>5016.5540000000001</v>
      </c>
      <c r="AW14" s="505">
        <v>5055.5389999999998</v>
      </c>
      <c r="AX14" s="506"/>
      <c r="AY14" s="505">
        <v>4424.9639999999999</v>
      </c>
      <c r="AZ14" s="505">
        <v>4247.6909999999998</v>
      </c>
      <c r="BA14" s="505">
        <v>3671.8110000000001</v>
      </c>
      <c r="BB14" s="505">
        <v>3504.2840000000001</v>
      </c>
      <c r="BC14" s="505">
        <v>3316.4070000000002</v>
      </c>
      <c r="BD14" s="505">
        <v>3436.22</v>
      </c>
      <c r="BE14" s="505">
        <v>3466.77</v>
      </c>
      <c r="BF14" s="505">
        <v>3326.223</v>
      </c>
      <c r="BG14" s="505">
        <v>3147.1570000000002</v>
      </c>
      <c r="BI14" s="477" t="s">
        <v>358</v>
      </c>
    </row>
    <row r="15" spans="1:61" x14ac:dyDescent="0.2">
      <c r="B15" s="475" t="s">
        <v>367</v>
      </c>
      <c r="C15" s="472" t="s">
        <v>368</v>
      </c>
      <c r="D15" s="507" t="s">
        <v>369</v>
      </c>
      <c r="E15" s="503" t="s">
        <v>370</v>
      </c>
      <c r="F15" s="504">
        <v>289.24900000000002</v>
      </c>
      <c r="G15" s="505">
        <v>285.46199999999999</v>
      </c>
      <c r="H15" s="505">
        <v>223.90299999999999</v>
      </c>
      <c r="I15" s="505">
        <v>12.137</v>
      </c>
      <c r="K15" s="505">
        <v>423.51299999999998</v>
      </c>
      <c r="L15" s="505">
        <v>235.13399999999999</v>
      </c>
      <c r="M15" s="505">
        <v>240.38399999999999</v>
      </c>
      <c r="N15" s="505">
        <v>181.67400000000001</v>
      </c>
      <c r="O15" s="505">
        <v>293.62200000000001</v>
      </c>
      <c r="P15" s="505">
        <v>332.12099999999998</v>
      </c>
      <c r="Q15" s="505">
        <v>235.34399999999999</v>
      </c>
      <c r="R15" s="505">
        <v>257.57299999999998</v>
      </c>
      <c r="S15" s="505">
        <v>382.976</v>
      </c>
      <c r="U15" s="505">
        <v>-189.845</v>
      </c>
      <c r="V15" s="505">
        <v>-475.488</v>
      </c>
      <c r="W15" s="505">
        <v>-349.596</v>
      </c>
      <c r="X15" s="505">
        <v>-263.625</v>
      </c>
      <c r="Y15" s="505">
        <v>-15.246</v>
      </c>
      <c r="Z15" s="505">
        <v>40.371000000000002</v>
      </c>
      <c r="AA15" s="505">
        <v>-216.77699999999999</v>
      </c>
      <c r="AB15" s="505">
        <v>-201.53800000000001</v>
      </c>
      <c r="AC15" s="505">
        <v>58.680999999999997</v>
      </c>
      <c r="AE15" s="505">
        <v>423.51299999999998</v>
      </c>
      <c r="AF15" s="505">
        <v>235.13399999999999</v>
      </c>
      <c r="AG15" s="505">
        <v>240.38399999999999</v>
      </c>
      <c r="AH15" s="505">
        <v>181.67400000000001</v>
      </c>
      <c r="AI15" s="505">
        <v>293.62200000000001</v>
      </c>
      <c r="AJ15" s="505">
        <v>332.12099999999998</v>
      </c>
      <c r="AK15" s="505">
        <v>235.34399999999999</v>
      </c>
      <c r="AL15" s="505">
        <v>257.57299999999998</v>
      </c>
      <c r="AM15" s="505">
        <v>382.976</v>
      </c>
      <c r="AO15" s="505">
        <v>-22.738</v>
      </c>
      <c r="AP15" s="505">
        <v>74.343000000000004</v>
      </c>
      <c r="AQ15" s="505">
        <v>67.266000000000005</v>
      </c>
      <c r="AR15" s="505">
        <v>69.891999999999996</v>
      </c>
      <c r="AS15" s="505">
        <v>164.71199999999999</v>
      </c>
      <c r="AT15" s="505">
        <v>168.44800000000001</v>
      </c>
      <c r="AU15" s="505">
        <v>69.667000000000002</v>
      </c>
      <c r="AV15" s="505">
        <v>38.984999999999999</v>
      </c>
      <c r="AW15" s="505">
        <v>279.43299999999999</v>
      </c>
      <c r="AY15" s="505">
        <v>-177.273</v>
      </c>
      <c r="AZ15" s="505">
        <v>-575.88</v>
      </c>
      <c r="BA15" s="505">
        <v>-167.52699999999999</v>
      </c>
      <c r="BB15" s="505">
        <v>-187.87700000000001</v>
      </c>
      <c r="BC15" s="505">
        <v>119.813</v>
      </c>
      <c r="BD15" s="505">
        <v>30.55</v>
      </c>
      <c r="BE15" s="505">
        <v>-140.547</v>
      </c>
      <c r="BF15" s="505">
        <v>-179.066</v>
      </c>
      <c r="BG15" s="505">
        <v>94.415000000000006</v>
      </c>
      <c r="BI15" s="477" t="s">
        <v>358</v>
      </c>
    </row>
    <row r="16" spans="1:61" x14ac:dyDescent="0.2">
      <c r="D16" s="507" t="s">
        <v>371</v>
      </c>
      <c r="E16" s="503" t="s">
        <v>372</v>
      </c>
      <c r="F16" s="506"/>
      <c r="G16" s="506"/>
      <c r="H16" s="506"/>
      <c r="I16" s="506"/>
      <c r="K16" s="506"/>
      <c r="L16" s="506"/>
      <c r="M16" s="506"/>
      <c r="N16" s="506"/>
      <c r="O16" s="506"/>
      <c r="P16" s="506"/>
      <c r="Q16" s="506"/>
      <c r="R16" s="506"/>
      <c r="S16" s="506"/>
      <c r="U16" s="506"/>
      <c r="V16" s="506"/>
      <c r="W16" s="506"/>
      <c r="X16" s="506"/>
      <c r="Y16" s="506"/>
      <c r="Z16" s="506"/>
      <c r="AA16" s="506"/>
      <c r="AB16" s="506"/>
      <c r="AC16" s="506"/>
      <c r="AE16" s="506"/>
      <c r="AF16" s="506"/>
      <c r="AG16" s="506"/>
      <c r="AH16" s="506"/>
      <c r="AI16" s="506"/>
      <c r="AJ16" s="506"/>
      <c r="AK16" s="506"/>
      <c r="AL16" s="506"/>
      <c r="AM16" s="506"/>
      <c r="AO16" s="506"/>
      <c r="AP16" s="506"/>
      <c r="AQ16" s="506"/>
      <c r="AR16" s="506"/>
      <c r="AS16" s="506"/>
      <c r="AT16" s="506"/>
      <c r="AU16" s="506"/>
      <c r="AV16" s="506"/>
      <c r="AW16" s="506"/>
      <c r="AY16" s="506"/>
      <c r="AZ16" s="506"/>
      <c r="BA16" s="506"/>
      <c r="BB16" s="506"/>
      <c r="BC16" s="506"/>
      <c r="BD16" s="506"/>
      <c r="BE16" s="506"/>
      <c r="BF16" s="506"/>
      <c r="BG16" s="506"/>
    </row>
    <row r="17" spans="1:61" x14ac:dyDescent="0.2">
      <c r="B17" s="475" t="s">
        <v>373</v>
      </c>
      <c r="C17" s="472" t="s">
        <v>374</v>
      </c>
      <c r="D17" s="507" t="s">
        <v>375</v>
      </c>
      <c r="E17" s="508" t="s">
        <v>376</v>
      </c>
      <c r="F17" s="509"/>
      <c r="G17" s="510"/>
      <c r="H17" s="510"/>
      <c r="I17" s="510"/>
      <c r="K17" s="510">
        <v>0</v>
      </c>
      <c r="L17" s="510">
        <v>0</v>
      </c>
      <c r="M17" s="510">
        <v>0</v>
      </c>
      <c r="N17" s="510">
        <v>0</v>
      </c>
      <c r="O17" s="510">
        <v>0</v>
      </c>
      <c r="P17" s="510">
        <v>0</v>
      </c>
      <c r="Q17" s="510">
        <v>0</v>
      </c>
      <c r="R17" s="510">
        <v>0</v>
      </c>
      <c r="S17" s="510">
        <v>0</v>
      </c>
      <c r="U17" s="510">
        <v>0</v>
      </c>
      <c r="V17" s="510">
        <v>0</v>
      </c>
      <c r="W17" s="510">
        <v>0</v>
      </c>
      <c r="X17" s="510">
        <v>0</v>
      </c>
      <c r="Y17" s="510">
        <v>0</v>
      </c>
      <c r="Z17" s="510">
        <v>0</v>
      </c>
      <c r="AA17" s="510">
        <v>0</v>
      </c>
      <c r="AB17" s="510">
        <v>0</v>
      </c>
      <c r="AC17" s="510">
        <v>0</v>
      </c>
      <c r="AE17" s="510">
        <v>0</v>
      </c>
      <c r="AF17" s="510">
        <v>0</v>
      </c>
      <c r="AG17" s="510">
        <v>0</v>
      </c>
      <c r="AH17" s="510">
        <v>0</v>
      </c>
      <c r="AI17" s="510">
        <v>0</v>
      </c>
      <c r="AJ17" s="510">
        <v>0</v>
      </c>
      <c r="AK17" s="510">
        <v>0</v>
      </c>
      <c r="AL17" s="510">
        <v>0</v>
      </c>
      <c r="AM17" s="510">
        <v>0</v>
      </c>
      <c r="AO17" s="510">
        <v>0</v>
      </c>
      <c r="AP17" s="510">
        <v>0</v>
      </c>
      <c r="AQ17" s="510">
        <v>0</v>
      </c>
      <c r="AR17" s="510">
        <v>0</v>
      </c>
      <c r="AS17" s="510">
        <v>0</v>
      </c>
      <c r="AT17" s="510">
        <v>0</v>
      </c>
      <c r="AU17" s="510">
        <v>0</v>
      </c>
      <c r="AV17" s="510">
        <v>0</v>
      </c>
      <c r="AW17" s="510">
        <v>0</v>
      </c>
      <c r="AY17" s="510">
        <v>0</v>
      </c>
      <c r="AZ17" s="510">
        <v>0</v>
      </c>
      <c r="BA17" s="510">
        <v>0</v>
      </c>
      <c r="BB17" s="510">
        <v>0</v>
      </c>
      <c r="BC17" s="510">
        <v>0</v>
      </c>
      <c r="BD17" s="510">
        <v>0</v>
      </c>
      <c r="BE17" s="510">
        <v>0</v>
      </c>
      <c r="BF17" s="510">
        <v>0</v>
      </c>
      <c r="BG17" s="510">
        <v>0</v>
      </c>
      <c r="BI17" s="477" t="s">
        <v>358</v>
      </c>
    </row>
    <row r="18" spans="1:61" x14ac:dyDescent="0.2">
      <c r="B18" s="475" t="s">
        <v>377</v>
      </c>
      <c r="C18" s="472" t="s">
        <v>378</v>
      </c>
      <c r="D18" s="507" t="s">
        <v>379</v>
      </c>
      <c r="E18" s="508" t="s">
        <v>380</v>
      </c>
      <c r="F18" s="509"/>
      <c r="G18" s="510"/>
      <c r="H18" s="510"/>
      <c r="I18" s="510"/>
      <c r="J18" s="506"/>
      <c r="K18" s="510"/>
      <c r="L18" s="510"/>
      <c r="M18" s="510"/>
      <c r="N18" s="510"/>
      <c r="O18" s="510"/>
      <c r="P18" s="510"/>
      <c r="Q18" s="510"/>
      <c r="R18" s="510"/>
      <c r="S18" s="510"/>
      <c r="T18" s="506"/>
      <c r="U18" s="510"/>
      <c r="V18" s="510"/>
      <c r="W18" s="510"/>
      <c r="X18" s="510"/>
      <c r="Y18" s="510"/>
      <c r="Z18" s="510"/>
      <c r="AA18" s="510"/>
      <c r="AB18" s="510"/>
      <c r="AC18" s="510"/>
      <c r="AD18" s="506"/>
      <c r="AE18" s="510"/>
      <c r="AF18" s="510"/>
      <c r="AG18" s="510"/>
      <c r="AH18" s="510"/>
      <c r="AI18" s="510"/>
      <c r="AJ18" s="510"/>
      <c r="AK18" s="510"/>
      <c r="AL18" s="510"/>
      <c r="AM18" s="510"/>
      <c r="AN18" s="506"/>
      <c r="AO18" s="510"/>
      <c r="AP18" s="510"/>
      <c r="AQ18" s="510"/>
      <c r="AR18" s="510"/>
      <c r="AS18" s="510"/>
      <c r="AT18" s="510"/>
      <c r="AU18" s="510"/>
      <c r="AV18" s="510"/>
      <c r="AW18" s="510"/>
      <c r="AX18" s="506"/>
      <c r="AY18" s="510"/>
      <c r="AZ18" s="510"/>
      <c r="BA18" s="510"/>
      <c r="BB18" s="510"/>
      <c r="BC18" s="510"/>
      <c r="BD18" s="510"/>
      <c r="BE18" s="510"/>
      <c r="BF18" s="510"/>
      <c r="BG18" s="510"/>
      <c r="BI18" s="477" t="s">
        <v>358</v>
      </c>
    </row>
    <row r="19" spans="1:61" x14ac:dyDescent="0.2">
      <c r="D19" s="507" t="s">
        <v>371</v>
      </c>
      <c r="E19" s="503" t="s">
        <v>381</v>
      </c>
      <c r="F19" s="506"/>
      <c r="G19" s="506"/>
      <c r="H19" s="506"/>
      <c r="I19" s="506"/>
      <c r="K19" s="506"/>
      <c r="L19" s="506"/>
      <c r="M19" s="506"/>
      <c r="N19" s="506"/>
      <c r="O19" s="506"/>
      <c r="P19" s="506"/>
      <c r="Q19" s="506"/>
      <c r="R19" s="506"/>
      <c r="S19" s="506"/>
      <c r="U19" s="506"/>
      <c r="V19" s="506"/>
      <c r="W19" s="506"/>
      <c r="X19" s="506"/>
      <c r="Y19" s="506"/>
      <c r="Z19" s="506"/>
      <c r="AA19" s="506"/>
      <c r="AB19" s="506"/>
      <c r="AC19" s="506"/>
      <c r="AE19" s="506"/>
      <c r="AF19" s="506"/>
      <c r="AG19" s="506"/>
      <c r="AH19" s="506"/>
      <c r="AI19" s="506"/>
      <c r="AJ19" s="506"/>
      <c r="AK19" s="506"/>
      <c r="AL19" s="506"/>
      <c r="AM19" s="506"/>
      <c r="AO19" s="506"/>
      <c r="AP19" s="506"/>
      <c r="AQ19" s="506"/>
      <c r="AR19" s="506"/>
      <c r="AS19" s="506"/>
      <c r="AT19" s="506"/>
      <c r="AU19" s="506"/>
      <c r="AV19" s="506"/>
      <c r="AW19" s="506"/>
      <c r="AY19" s="506"/>
      <c r="AZ19" s="506"/>
      <c r="BA19" s="506"/>
      <c r="BB19" s="506"/>
      <c r="BC19" s="506"/>
      <c r="BD19" s="506"/>
      <c r="BE19" s="506"/>
      <c r="BF19" s="506"/>
      <c r="BG19" s="506"/>
    </row>
    <row r="20" spans="1:61" x14ac:dyDescent="0.2">
      <c r="B20" s="475" t="s">
        <v>382</v>
      </c>
      <c r="C20" s="472" t="s">
        <v>383</v>
      </c>
      <c r="D20" s="507" t="s">
        <v>384</v>
      </c>
      <c r="E20" s="508" t="s">
        <v>385</v>
      </c>
      <c r="F20" s="509">
        <v>15.725</v>
      </c>
      <c r="G20" s="510">
        <v>105.941</v>
      </c>
      <c r="H20" s="510">
        <v>-89.994</v>
      </c>
      <c r="I20" s="510">
        <v>-26.241</v>
      </c>
      <c r="K20" s="510">
        <v>0</v>
      </c>
      <c r="L20" s="510">
        <v>0</v>
      </c>
      <c r="M20" s="510">
        <v>0</v>
      </c>
      <c r="N20" s="510">
        <v>0</v>
      </c>
      <c r="O20" s="510">
        <v>0</v>
      </c>
      <c r="P20" s="510">
        <v>0</v>
      </c>
      <c r="Q20" s="510">
        <v>0</v>
      </c>
      <c r="R20" s="510">
        <v>0</v>
      </c>
      <c r="S20" s="510">
        <v>0</v>
      </c>
      <c r="U20" s="510">
        <v>0</v>
      </c>
      <c r="V20" s="510">
        <v>0</v>
      </c>
      <c r="W20" s="510">
        <v>0</v>
      </c>
      <c r="X20" s="510">
        <v>0</v>
      </c>
      <c r="Y20" s="510">
        <v>0</v>
      </c>
      <c r="Z20" s="510">
        <v>0</v>
      </c>
      <c r="AA20" s="510">
        <v>0</v>
      </c>
      <c r="AB20" s="510">
        <v>0</v>
      </c>
      <c r="AC20" s="510">
        <v>0</v>
      </c>
      <c r="AE20" s="510">
        <v>0</v>
      </c>
      <c r="AF20" s="510">
        <v>0</v>
      </c>
      <c r="AG20" s="510">
        <v>0</v>
      </c>
      <c r="AH20" s="510">
        <v>0</v>
      </c>
      <c r="AI20" s="510">
        <v>0</v>
      </c>
      <c r="AJ20" s="510">
        <v>0</v>
      </c>
      <c r="AK20" s="510">
        <v>0</v>
      </c>
      <c r="AL20" s="510">
        <v>0</v>
      </c>
      <c r="AM20" s="510">
        <v>0</v>
      </c>
      <c r="AO20" s="510">
        <v>0</v>
      </c>
      <c r="AP20" s="510">
        <v>0</v>
      </c>
      <c r="AQ20" s="510">
        <v>0</v>
      </c>
      <c r="AR20" s="510">
        <v>0</v>
      </c>
      <c r="AS20" s="510">
        <v>0</v>
      </c>
      <c r="AT20" s="510">
        <v>0</v>
      </c>
      <c r="AU20" s="510">
        <v>0</v>
      </c>
      <c r="AV20" s="510">
        <v>0</v>
      </c>
      <c r="AW20" s="510">
        <v>0</v>
      </c>
      <c r="AY20" s="510">
        <v>0</v>
      </c>
      <c r="AZ20" s="510">
        <v>0</v>
      </c>
      <c r="BA20" s="510">
        <v>0</v>
      </c>
      <c r="BB20" s="510">
        <v>0</v>
      </c>
      <c r="BC20" s="510">
        <v>0</v>
      </c>
      <c r="BD20" s="510">
        <v>0</v>
      </c>
      <c r="BE20" s="510">
        <v>0</v>
      </c>
      <c r="BF20" s="510">
        <v>0</v>
      </c>
      <c r="BG20" s="510">
        <v>0</v>
      </c>
      <c r="BI20" s="477" t="s">
        <v>358</v>
      </c>
    </row>
    <row r="21" spans="1:61" x14ac:dyDescent="0.2">
      <c r="B21" s="475" t="s">
        <v>386</v>
      </c>
      <c r="C21" s="472" t="s">
        <v>387</v>
      </c>
      <c r="D21" s="507" t="s">
        <v>388</v>
      </c>
      <c r="E21" s="508" t="s">
        <v>389</v>
      </c>
      <c r="F21" s="504"/>
      <c r="G21" s="505"/>
      <c r="H21" s="505"/>
      <c r="I21" s="505"/>
      <c r="K21" s="505"/>
      <c r="L21" s="505"/>
      <c r="M21" s="505"/>
      <c r="N21" s="505"/>
      <c r="O21" s="505"/>
      <c r="P21" s="505"/>
      <c r="Q21" s="505"/>
      <c r="R21" s="505"/>
      <c r="S21" s="505"/>
      <c r="U21" s="505"/>
      <c r="V21" s="505"/>
      <c r="W21" s="505"/>
      <c r="X21" s="505"/>
      <c r="Y21" s="505"/>
      <c r="Z21" s="505"/>
      <c r="AA21" s="505"/>
      <c r="AB21" s="505"/>
      <c r="AC21" s="505"/>
      <c r="AE21" s="505"/>
      <c r="AF21" s="505"/>
      <c r="AG21" s="505"/>
      <c r="AH21" s="505"/>
      <c r="AI21" s="505"/>
      <c r="AJ21" s="505"/>
      <c r="AK21" s="505"/>
      <c r="AL21" s="505"/>
      <c r="AM21" s="505"/>
      <c r="AO21" s="505"/>
      <c r="AP21" s="505"/>
      <c r="AQ21" s="505"/>
      <c r="AR21" s="505"/>
      <c r="AS21" s="505"/>
      <c r="AT21" s="505"/>
      <c r="AU21" s="505"/>
      <c r="AV21" s="505"/>
      <c r="AW21" s="505"/>
      <c r="AY21" s="505"/>
      <c r="AZ21" s="505"/>
      <c r="BA21" s="505"/>
      <c r="BB21" s="505"/>
      <c r="BC21" s="505"/>
      <c r="BD21" s="505"/>
      <c r="BE21" s="505"/>
      <c r="BF21" s="505"/>
      <c r="BG21" s="505"/>
      <c r="BI21" s="477" t="s">
        <v>358</v>
      </c>
    </row>
    <row r="22" spans="1:61" x14ac:dyDescent="0.2">
      <c r="B22" s="475" t="s">
        <v>390</v>
      </c>
      <c r="C22" s="472" t="s">
        <v>391</v>
      </c>
      <c r="D22" s="507" t="s">
        <v>392</v>
      </c>
      <c r="E22" s="503" t="s">
        <v>393</v>
      </c>
      <c r="F22" s="504"/>
      <c r="G22" s="505"/>
      <c r="H22" s="505"/>
      <c r="I22" s="505"/>
      <c r="K22" s="505"/>
      <c r="L22" s="505"/>
      <c r="M22" s="505"/>
      <c r="N22" s="505"/>
      <c r="O22" s="505"/>
      <c r="P22" s="505"/>
      <c r="Q22" s="505"/>
      <c r="R22" s="505"/>
      <c r="S22" s="505"/>
      <c r="U22" s="505"/>
      <c r="V22" s="505"/>
      <c r="W22" s="505"/>
      <c r="X22" s="505"/>
      <c r="Y22" s="505"/>
      <c r="Z22" s="505"/>
      <c r="AA22" s="505"/>
      <c r="AB22" s="505"/>
      <c r="AC22" s="505"/>
      <c r="AE22" s="505"/>
      <c r="AF22" s="505"/>
      <c r="AG22" s="505"/>
      <c r="AH22" s="505"/>
      <c r="AI22" s="505"/>
      <c r="AJ22" s="505"/>
      <c r="AK22" s="505"/>
      <c r="AL22" s="505"/>
      <c r="AM22" s="505"/>
      <c r="AO22" s="505"/>
      <c r="AP22" s="505"/>
      <c r="AQ22" s="505"/>
      <c r="AR22" s="505"/>
      <c r="AS22" s="505"/>
      <c r="AT22" s="505"/>
      <c r="AU22" s="505"/>
      <c r="AV22" s="505"/>
      <c r="AW22" s="505"/>
      <c r="AY22" s="505"/>
      <c r="AZ22" s="505"/>
      <c r="BA22" s="505"/>
      <c r="BB22" s="505"/>
      <c r="BC22" s="505"/>
      <c r="BD22" s="505"/>
      <c r="BE22" s="505"/>
      <c r="BF22" s="505"/>
      <c r="BG22" s="505"/>
      <c r="BI22" s="477" t="s">
        <v>358</v>
      </c>
    </row>
    <row r="23" spans="1:61" x14ac:dyDescent="0.2">
      <c r="B23" s="475" t="s">
        <v>394</v>
      </c>
      <c r="C23" s="472" t="s">
        <v>395</v>
      </c>
      <c r="D23" s="507" t="s">
        <v>396</v>
      </c>
      <c r="E23" s="503" t="s">
        <v>397</v>
      </c>
      <c r="F23" s="504"/>
      <c r="G23" s="505"/>
      <c r="H23" s="505"/>
      <c r="I23" s="505"/>
      <c r="J23" s="506"/>
      <c r="K23" s="505"/>
      <c r="L23" s="505"/>
      <c r="M23" s="505"/>
      <c r="N23" s="505"/>
      <c r="O23" s="505"/>
      <c r="P23" s="505"/>
      <c r="Q23" s="505"/>
      <c r="R23" s="505"/>
      <c r="S23" s="505"/>
      <c r="T23" s="506"/>
      <c r="U23" s="505"/>
      <c r="V23" s="505"/>
      <c r="W23" s="505"/>
      <c r="X23" s="505"/>
      <c r="Y23" s="505"/>
      <c r="Z23" s="505"/>
      <c r="AA23" s="505"/>
      <c r="AB23" s="505"/>
      <c r="AC23" s="505"/>
      <c r="AD23" s="506"/>
      <c r="AE23" s="505"/>
      <c r="AF23" s="505"/>
      <c r="AG23" s="505"/>
      <c r="AH23" s="505"/>
      <c r="AI23" s="505"/>
      <c r="AJ23" s="505"/>
      <c r="AK23" s="505"/>
      <c r="AL23" s="505"/>
      <c r="AM23" s="505"/>
      <c r="AN23" s="506"/>
      <c r="AO23" s="505"/>
      <c r="AP23" s="505"/>
      <c r="AQ23" s="505"/>
      <c r="AR23" s="505"/>
      <c r="AS23" s="505"/>
      <c r="AT23" s="505"/>
      <c r="AU23" s="505"/>
      <c r="AV23" s="505"/>
      <c r="AW23" s="505"/>
      <c r="AX23" s="506"/>
      <c r="AY23" s="505"/>
      <c r="AZ23" s="505"/>
      <c r="BA23" s="505"/>
      <c r="BB23" s="505"/>
      <c r="BC23" s="505"/>
      <c r="BD23" s="505"/>
      <c r="BE23" s="505"/>
      <c r="BF23" s="505"/>
      <c r="BG23" s="505"/>
      <c r="BI23" s="477" t="s">
        <v>358</v>
      </c>
    </row>
    <row r="24" spans="1:61" x14ac:dyDescent="0.2">
      <c r="B24" s="475" t="s">
        <v>398</v>
      </c>
      <c r="C24" s="472" t="s">
        <v>399</v>
      </c>
      <c r="D24" s="507" t="s">
        <v>400</v>
      </c>
      <c r="E24" s="503" t="s">
        <v>401</v>
      </c>
      <c r="F24" s="504"/>
      <c r="G24" s="505"/>
      <c r="H24" s="505"/>
      <c r="I24" s="505"/>
      <c r="K24" s="505">
        <v>0</v>
      </c>
      <c r="L24" s="505">
        <v>0</v>
      </c>
      <c r="M24" s="505">
        <v>0</v>
      </c>
      <c r="N24" s="505">
        <v>0</v>
      </c>
      <c r="O24" s="505">
        <v>0</v>
      </c>
      <c r="P24" s="505">
        <v>0</v>
      </c>
      <c r="Q24" s="505">
        <v>0</v>
      </c>
      <c r="R24" s="505">
        <v>0</v>
      </c>
      <c r="S24" s="505">
        <v>0</v>
      </c>
      <c r="U24" s="505">
        <v>0</v>
      </c>
      <c r="V24" s="505">
        <v>0</v>
      </c>
      <c r="W24" s="505">
        <v>0</v>
      </c>
      <c r="X24" s="505">
        <v>0</v>
      </c>
      <c r="Y24" s="505">
        <v>0</v>
      </c>
      <c r="Z24" s="505">
        <v>0</v>
      </c>
      <c r="AA24" s="505">
        <v>0</v>
      </c>
      <c r="AB24" s="505">
        <v>0</v>
      </c>
      <c r="AC24" s="505">
        <v>0</v>
      </c>
      <c r="AE24" s="505">
        <v>0</v>
      </c>
      <c r="AF24" s="505">
        <v>0</v>
      </c>
      <c r="AG24" s="505">
        <v>0</v>
      </c>
      <c r="AH24" s="505">
        <v>0</v>
      </c>
      <c r="AI24" s="505">
        <v>0</v>
      </c>
      <c r="AJ24" s="505">
        <v>0</v>
      </c>
      <c r="AK24" s="505">
        <v>0</v>
      </c>
      <c r="AL24" s="505">
        <v>0</v>
      </c>
      <c r="AM24" s="505">
        <v>0</v>
      </c>
      <c r="AO24" s="505">
        <v>0</v>
      </c>
      <c r="AP24" s="505">
        <v>0</v>
      </c>
      <c r="AQ24" s="505">
        <v>0</v>
      </c>
      <c r="AR24" s="505">
        <v>0</v>
      </c>
      <c r="AS24" s="505">
        <v>0</v>
      </c>
      <c r="AT24" s="505">
        <v>0</v>
      </c>
      <c r="AU24" s="505">
        <v>0</v>
      </c>
      <c r="AV24" s="505">
        <v>0</v>
      </c>
      <c r="AW24" s="505">
        <v>0</v>
      </c>
      <c r="AY24" s="505">
        <v>0</v>
      </c>
      <c r="AZ24" s="505">
        <v>0</v>
      </c>
      <c r="BA24" s="505">
        <v>0</v>
      </c>
      <c r="BB24" s="505">
        <v>0</v>
      </c>
      <c r="BC24" s="505">
        <v>0</v>
      </c>
      <c r="BD24" s="505">
        <v>0</v>
      </c>
      <c r="BE24" s="505">
        <v>0</v>
      </c>
      <c r="BF24" s="505">
        <v>0</v>
      </c>
      <c r="BG24" s="505">
        <v>0</v>
      </c>
      <c r="BI24" s="477" t="s">
        <v>358</v>
      </c>
    </row>
    <row r="25" spans="1:61" x14ac:dyDescent="0.2">
      <c r="B25" s="475" t="s">
        <v>402</v>
      </c>
      <c r="C25" s="472" t="s">
        <v>403</v>
      </c>
      <c r="D25" s="507" t="s">
        <v>404</v>
      </c>
      <c r="E25" s="503" t="s">
        <v>405</v>
      </c>
      <c r="F25" s="509"/>
      <c r="G25" s="510"/>
      <c r="H25" s="510"/>
      <c r="I25" s="510"/>
      <c r="K25" s="510">
        <v>0</v>
      </c>
      <c r="L25" s="510">
        <v>0</v>
      </c>
      <c r="M25" s="510">
        <v>0</v>
      </c>
      <c r="N25" s="510">
        <v>0</v>
      </c>
      <c r="O25" s="510">
        <v>0</v>
      </c>
      <c r="P25" s="510">
        <v>0</v>
      </c>
      <c r="Q25" s="510">
        <v>0</v>
      </c>
      <c r="R25" s="510">
        <v>0</v>
      </c>
      <c r="S25" s="510">
        <v>0</v>
      </c>
      <c r="U25" s="510">
        <v>0</v>
      </c>
      <c r="V25" s="510">
        <v>0</v>
      </c>
      <c r="W25" s="510">
        <v>0</v>
      </c>
      <c r="X25" s="510">
        <v>0</v>
      </c>
      <c r="Y25" s="510">
        <v>0</v>
      </c>
      <c r="Z25" s="510">
        <v>0</v>
      </c>
      <c r="AA25" s="510">
        <v>0</v>
      </c>
      <c r="AB25" s="510">
        <v>0</v>
      </c>
      <c r="AC25" s="510">
        <v>0</v>
      </c>
      <c r="AE25" s="510">
        <v>0</v>
      </c>
      <c r="AF25" s="510">
        <v>0</v>
      </c>
      <c r="AG25" s="510">
        <v>0</v>
      </c>
      <c r="AH25" s="510">
        <v>0</v>
      </c>
      <c r="AI25" s="510">
        <v>0</v>
      </c>
      <c r="AJ25" s="510">
        <v>0</v>
      </c>
      <c r="AK25" s="510">
        <v>0</v>
      </c>
      <c r="AL25" s="510">
        <v>0</v>
      </c>
      <c r="AM25" s="510">
        <v>0</v>
      </c>
      <c r="AO25" s="510">
        <v>0</v>
      </c>
      <c r="AP25" s="510">
        <v>0</v>
      </c>
      <c r="AQ25" s="510">
        <v>0</v>
      </c>
      <c r="AR25" s="510">
        <v>0</v>
      </c>
      <c r="AS25" s="510">
        <v>0</v>
      </c>
      <c r="AT25" s="510">
        <v>0</v>
      </c>
      <c r="AU25" s="510">
        <v>0</v>
      </c>
      <c r="AV25" s="510">
        <v>0</v>
      </c>
      <c r="AW25" s="510">
        <v>0</v>
      </c>
      <c r="AY25" s="510">
        <v>0</v>
      </c>
      <c r="AZ25" s="510">
        <v>0</v>
      </c>
      <c r="BA25" s="510">
        <v>0</v>
      </c>
      <c r="BB25" s="510">
        <v>0</v>
      </c>
      <c r="BC25" s="510">
        <v>0</v>
      </c>
      <c r="BD25" s="510">
        <v>0</v>
      </c>
      <c r="BE25" s="510">
        <v>0</v>
      </c>
      <c r="BF25" s="510">
        <v>0</v>
      </c>
      <c r="BG25" s="510">
        <v>0</v>
      </c>
      <c r="BI25" s="477" t="s">
        <v>358</v>
      </c>
    </row>
    <row r="26" spans="1:61" x14ac:dyDescent="0.2">
      <c r="B26" s="475" t="s">
        <v>406</v>
      </c>
      <c r="C26" s="472" t="s">
        <v>407</v>
      </c>
      <c r="D26" s="507" t="s">
        <v>408</v>
      </c>
      <c r="E26" s="503" t="s">
        <v>409</v>
      </c>
      <c r="F26" s="509"/>
      <c r="G26" s="510"/>
      <c r="H26" s="510"/>
      <c r="I26" s="510"/>
      <c r="J26" s="506"/>
      <c r="K26" s="510">
        <v>0</v>
      </c>
      <c r="L26" s="510">
        <v>0</v>
      </c>
      <c r="M26" s="510">
        <v>0</v>
      </c>
      <c r="N26" s="510">
        <v>0</v>
      </c>
      <c r="O26" s="510">
        <v>0</v>
      </c>
      <c r="P26" s="510">
        <v>0</v>
      </c>
      <c r="Q26" s="510">
        <v>0</v>
      </c>
      <c r="R26" s="510">
        <v>0</v>
      </c>
      <c r="S26" s="510">
        <v>0</v>
      </c>
      <c r="T26" s="506"/>
      <c r="U26" s="510">
        <v>0</v>
      </c>
      <c r="V26" s="510">
        <v>0</v>
      </c>
      <c r="W26" s="510">
        <v>0</v>
      </c>
      <c r="X26" s="510">
        <v>0</v>
      </c>
      <c r="Y26" s="510">
        <v>0</v>
      </c>
      <c r="Z26" s="510">
        <v>0</v>
      </c>
      <c r="AA26" s="510">
        <v>0</v>
      </c>
      <c r="AB26" s="510">
        <v>0</v>
      </c>
      <c r="AC26" s="510">
        <v>0</v>
      </c>
      <c r="AD26" s="506"/>
      <c r="AE26" s="510">
        <v>0</v>
      </c>
      <c r="AF26" s="510">
        <v>0</v>
      </c>
      <c r="AG26" s="510">
        <v>0</v>
      </c>
      <c r="AH26" s="510">
        <v>0</v>
      </c>
      <c r="AI26" s="510">
        <v>0</v>
      </c>
      <c r="AJ26" s="510">
        <v>0</v>
      </c>
      <c r="AK26" s="510">
        <v>0</v>
      </c>
      <c r="AL26" s="510">
        <v>0</v>
      </c>
      <c r="AM26" s="510">
        <v>0</v>
      </c>
      <c r="AN26" s="506"/>
      <c r="AO26" s="510">
        <v>0</v>
      </c>
      <c r="AP26" s="510">
        <v>0</v>
      </c>
      <c r="AQ26" s="510">
        <v>0</v>
      </c>
      <c r="AR26" s="510">
        <v>0</v>
      </c>
      <c r="AS26" s="510">
        <v>0</v>
      </c>
      <c r="AT26" s="510">
        <v>0</v>
      </c>
      <c r="AU26" s="510">
        <v>0</v>
      </c>
      <c r="AV26" s="510">
        <v>0</v>
      </c>
      <c r="AW26" s="510">
        <v>0</v>
      </c>
      <c r="AX26" s="506"/>
      <c r="AY26" s="510">
        <v>0</v>
      </c>
      <c r="AZ26" s="510">
        <v>0</v>
      </c>
      <c r="BA26" s="510">
        <v>0</v>
      </c>
      <c r="BB26" s="510">
        <v>0</v>
      </c>
      <c r="BC26" s="510">
        <v>0</v>
      </c>
      <c r="BD26" s="510">
        <v>0</v>
      </c>
      <c r="BE26" s="510">
        <v>0</v>
      </c>
      <c r="BF26" s="510">
        <v>0</v>
      </c>
      <c r="BG26" s="510">
        <v>0</v>
      </c>
      <c r="BI26" s="477" t="s">
        <v>358</v>
      </c>
    </row>
    <row r="27" spans="1:61" x14ac:dyDescent="0.2">
      <c r="A27" s="478"/>
      <c r="B27" s="475" t="s">
        <v>410</v>
      </c>
      <c r="C27" s="472" t="s">
        <v>411</v>
      </c>
      <c r="D27" s="507" t="s">
        <v>412</v>
      </c>
      <c r="E27" s="503" t="s">
        <v>413</v>
      </c>
      <c r="F27" s="509">
        <v>-12.843</v>
      </c>
      <c r="G27" s="510">
        <v>3.5640000000000001</v>
      </c>
      <c r="H27" s="510">
        <v>-18.513999999999999</v>
      </c>
      <c r="I27" s="510">
        <v>26.363</v>
      </c>
      <c r="K27" s="510">
        <v>0</v>
      </c>
      <c r="L27" s="510">
        <v>0</v>
      </c>
      <c r="M27" s="510">
        <v>0</v>
      </c>
      <c r="N27" s="510">
        <v>0</v>
      </c>
      <c r="O27" s="510">
        <v>0</v>
      </c>
      <c r="P27" s="510">
        <v>0</v>
      </c>
      <c r="Q27" s="510">
        <v>0</v>
      </c>
      <c r="R27" s="510">
        <v>0</v>
      </c>
      <c r="S27" s="510">
        <v>0</v>
      </c>
      <c r="U27" s="510">
        <v>0</v>
      </c>
      <c r="V27" s="510">
        <v>0</v>
      </c>
      <c r="W27" s="510">
        <v>0</v>
      </c>
      <c r="X27" s="510">
        <v>0</v>
      </c>
      <c r="Y27" s="510">
        <v>0</v>
      </c>
      <c r="Z27" s="510">
        <v>0</v>
      </c>
      <c r="AA27" s="510">
        <v>0</v>
      </c>
      <c r="AB27" s="510">
        <v>0</v>
      </c>
      <c r="AC27" s="510">
        <v>0</v>
      </c>
      <c r="AE27" s="510">
        <v>0</v>
      </c>
      <c r="AF27" s="510">
        <v>0</v>
      </c>
      <c r="AG27" s="510">
        <v>0</v>
      </c>
      <c r="AH27" s="510">
        <v>0</v>
      </c>
      <c r="AI27" s="510">
        <v>0</v>
      </c>
      <c r="AJ27" s="510">
        <v>0</v>
      </c>
      <c r="AK27" s="510">
        <v>0</v>
      </c>
      <c r="AL27" s="510">
        <v>0</v>
      </c>
      <c r="AM27" s="510">
        <v>0</v>
      </c>
      <c r="AO27" s="510">
        <v>0</v>
      </c>
      <c r="AP27" s="510">
        <v>0</v>
      </c>
      <c r="AQ27" s="510">
        <v>0</v>
      </c>
      <c r="AR27" s="510">
        <v>0</v>
      </c>
      <c r="AS27" s="510">
        <v>0</v>
      </c>
      <c r="AT27" s="510">
        <v>0</v>
      </c>
      <c r="AU27" s="510">
        <v>0</v>
      </c>
      <c r="AV27" s="510">
        <v>0</v>
      </c>
      <c r="AW27" s="510">
        <v>0</v>
      </c>
      <c r="AY27" s="510">
        <v>0</v>
      </c>
      <c r="AZ27" s="510">
        <v>0</v>
      </c>
      <c r="BA27" s="510">
        <v>0</v>
      </c>
      <c r="BB27" s="510">
        <v>0</v>
      </c>
      <c r="BC27" s="510">
        <v>0</v>
      </c>
      <c r="BD27" s="510">
        <v>0</v>
      </c>
      <c r="BE27" s="510">
        <v>0</v>
      </c>
      <c r="BF27" s="510">
        <v>0</v>
      </c>
      <c r="BG27" s="510">
        <v>0</v>
      </c>
      <c r="BI27" s="477" t="s">
        <v>358</v>
      </c>
    </row>
    <row r="28" spans="1:61" x14ac:dyDescent="0.2">
      <c r="A28" s="478"/>
      <c r="B28" s="475" t="s">
        <v>414</v>
      </c>
      <c r="C28" s="472" t="s">
        <v>415</v>
      </c>
      <c r="D28" s="507" t="s">
        <v>416</v>
      </c>
      <c r="E28" s="503" t="s">
        <v>417</v>
      </c>
      <c r="F28" s="509"/>
      <c r="G28" s="510"/>
      <c r="H28" s="510"/>
      <c r="I28" s="510"/>
      <c r="J28" s="506"/>
      <c r="K28" s="510"/>
      <c r="L28" s="510"/>
      <c r="M28" s="510"/>
      <c r="N28" s="510"/>
      <c r="O28" s="510"/>
      <c r="P28" s="510"/>
      <c r="Q28" s="510"/>
      <c r="R28" s="510"/>
      <c r="S28" s="510"/>
      <c r="T28" s="506"/>
      <c r="U28" s="510"/>
      <c r="V28" s="510"/>
      <c r="W28" s="510"/>
      <c r="X28" s="510"/>
      <c r="Y28" s="510"/>
      <c r="Z28" s="510"/>
      <c r="AA28" s="510"/>
      <c r="AB28" s="510"/>
      <c r="AC28" s="510"/>
      <c r="AD28" s="506"/>
      <c r="AE28" s="510"/>
      <c r="AF28" s="510"/>
      <c r="AG28" s="510"/>
      <c r="AH28" s="510"/>
      <c r="AI28" s="510"/>
      <c r="AJ28" s="510"/>
      <c r="AK28" s="510"/>
      <c r="AL28" s="510"/>
      <c r="AM28" s="510"/>
      <c r="AN28" s="506"/>
      <c r="AO28" s="510"/>
      <c r="AP28" s="510"/>
      <c r="AQ28" s="510"/>
      <c r="AR28" s="510"/>
      <c r="AS28" s="510"/>
      <c r="AT28" s="510"/>
      <c r="AU28" s="510"/>
      <c r="AV28" s="510"/>
      <c r="AW28" s="510"/>
      <c r="AX28" s="506"/>
      <c r="AY28" s="510"/>
      <c r="AZ28" s="510"/>
      <c r="BA28" s="510"/>
      <c r="BB28" s="510"/>
      <c r="BC28" s="510"/>
      <c r="BD28" s="510"/>
      <c r="BE28" s="510"/>
      <c r="BF28" s="510"/>
      <c r="BG28" s="510"/>
      <c r="BI28" s="477" t="s">
        <v>358</v>
      </c>
    </row>
    <row r="29" spans="1:61" x14ac:dyDescent="0.2">
      <c r="A29" s="478"/>
      <c r="B29" s="475" t="s">
        <v>418</v>
      </c>
      <c r="C29" s="472" t="s">
        <v>419</v>
      </c>
      <c r="D29" s="507" t="s">
        <v>420</v>
      </c>
      <c r="E29" s="511" t="s">
        <v>421</v>
      </c>
      <c r="F29" s="512"/>
      <c r="G29" s="513"/>
      <c r="H29" s="513"/>
      <c r="I29" s="513"/>
      <c r="K29" s="513">
        <v>0</v>
      </c>
      <c r="L29" s="513">
        <v>0</v>
      </c>
      <c r="M29" s="513">
        <v>0</v>
      </c>
      <c r="N29" s="513">
        <v>0</v>
      </c>
      <c r="O29" s="513">
        <v>0</v>
      </c>
      <c r="P29" s="513">
        <v>0</v>
      </c>
      <c r="Q29" s="513">
        <v>0</v>
      </c>
      <c r="R29" s="513">
        <v>0</v>
      </c>
      <c r="S29" s="513">
        <v>0</v>
      </c>
      <c r="U29" s="513">
        <v>0</v>
      </c>
      <c r="V29" s="513">
        <v>0</v>
      </c>
      <c r="W29" s="513">
        <v>0</v>
      </c>
      <c r="X29" s="513">
        <v>0</v>
      </c>
      <c r="Y29" s="513">
        <v>0</v>
      </c>
      <c r="Z29" s="513">
        <v>0</v>
      </c>
      <c r="AA29" s="513">
        <v>0</v>
      </c>
      <c r="AB29" s="513">
        <v>0</v>
      </c>
      <c r="AC29" s="513">
        <v>0</v>
      </c>
      <c r="AE29" s="513">
        <v>0</v>
      </c>
      <c r="AF29" s="513">
        <v>0</v>
      </c>
      <c r="AG29" s="513">
        <v>0</v>
      </c>
      <c r="AH29" s="513">
        <v>0</v>
      </c>
      <c r="AI29" s="513">
        <v>0</v>
      </c>
      <c r="AJ29" s="513">
        <v>0</v>
      </c>
      <c r="AK29" s="513">
        <v>0</v>
      </c>
      <c r="AL29" s="513">
        <v>0</v>
      </c>
      <c r="AM29" s="513">
        <v>0</v>
      </c>
      <c r="AO29" s="513">
        <v>0</v>
      </c>
      <c r="AP29" s="513">
        <v>0</v>
      </c>
      <c r="AQ29" s="513">
        <v>0</v>
      </c>
      <c r="AR29" s="513">
        <v>0</v>
      </c>
      <c r="AS29" s="513">
        <v>0</v>
      </c>
      <c r="AT29" s="513">
        <v>0</v>
      </c>
      <c r="AU29" s="513">
        <v>0</v>
      </c>
      <c r="AV29" s="513">
        <v>0</v>
      </c>
      <c r="AW29" s="513">
        <v>0</v>
      </c>
      <c r="AY29" s="513">
        <v>0</v>
      </c>
      <c r="AZ29" s="513">
        <v>0</v>
      </c>
      <c r="BA29" s="513">
        <v>0</v>
      </c>
      <c r="BB29" s="513">
        <v>0</v>
      </c>
      <c r="BC29" s="513">
        <v>0</v>
      </c>
      <c r="BD29" s="513">
        <v>0</v>
      </c>
      <c r="BE29" s="513">
        <v>0</v>
      </c>
      <c r="BF29" s="513">
        <v>0</v>
      </c>
      <c r="BG29" s="513">
        <v>0</v>
      </c>
      <c r="BI29" s="477" t="s">
        <v>358</v>
      </c>
    </row>
    <row r="30" spans="1:61" x14ac:dyDescent="0.2">
      <c r="B30" s="475" t="s">
        <v>422</v>
      </c>
      <c r="C30" s="472" t="s">
        <v>423</v>
      </c>
      <c r="D30" s="507" t="s">
        <v>424</v>
      </c>
      <c r="E30" s="514" t="s">
        <v>425</v>
      </c>
      <c r="F30" s="515">
        <v>3850.48</v>
      </c>
      <c r="G30" s="516">
        <v>4245.4470000000001</v>
      </c>
      <c r="H30" s="516">
        <v>4360.8419999999996</v>
      </c>
      <c r="I30" s="516">
        <v>4424.9639999999999</v>
      </c>
      <c r="K30" s="516">
        <v>4848.4769999999999</v>
      </c>
      <c r="L30" s="516">
        <v>5083.6109999999999</v>
      </c>
      <c r="M30" s="516">
        <v>5323.9949999999999</v>
      </c>
      <c r="N30" s="516">
        <v>5505.6689999999999</v>
      </c>
      <c r="O30" s="516">
        <v>5799.2910000000002</v>
      </c>
      <c r="P30" s="516">
        <v>6131.4120000000003</v>
      </c>
      <c r="Q30" s="516">
        <v>6366.7560000000003</v>
      </c>
      <c r="R30" s="516">
        <v>6624.3289999999997</v>
      </c>
      <c r="S30" s="516">
        <v>7007.3050000000003</v>
      </c>
      <c r="U30" s="516">
        <v>4235.1189999999997</v>
      </c>
      <c r="V30" s="516">
        <v>3759.6309999999999</v>
      </c>
      <c r="W30" s="516">
        <v>3410.0349999999999</v>
      </c>
      <c r="X30" s="516">
        <v>3146.41</v>
      </c>
      <c r="Y30" s="516">
        <v>3131.1640000000002</v>
      </c>
      <c r="Z30" s="516">
        <v>3171.5349999999999</v>
      </c>
      <c r="AA30" s="516">
        <v>2954.7579999999998</v>
      </c>
      <c r="AB30" s="516">
        <v>2753.22</v>
      </c>
      <c r="AC30" s="516">
        <v>2811.9009999999998</v>
      </c>
      <c r="AE30" s="516">
        <v>4848.4769999999899</v>
      </c>
      <c r="AF30" s="516">
        <v>5083.6109999999899</v>
      </c>
      <c r="AG30" s="516">
        <v>5323.9949999999899</v>
      </c>
      <c r="AH30" s="516">
        <v>5505.6689999999899</v>
      </c>
      <c r="AI30" s="516">
        <v>5799.2909999999902</v>
      </c>
      <c r="AJ30" s="516">
        <v>6131.4119999999903</v>
      </c>
      <c r="AK30" s="516">
        <v>6366.7559999999903</v>
      </c>
      <c r="AL30" s="516">
        <v>6624.3289999999897</v>
      </c>
      <c r="AM30" s="516">
        <v>7007.3049999999903</v>
      </c>
      <c r="AO30" s="516">
        <v>4402.2259999999997</v>
      </c>
      <c r="AP30" s="516">
        <v>4476.5690000000004</v>
      </c>
      <c r="AQ30" s="516">
        <v>4543.835</v>
      </c>
      <c r="AR30" s="516">
        <v>4613.7269999999999</v>
      </c>
      <c r="AS30" s="516">
        <v>4778.4390000000003</v>
      </c>
      <c r="AT30" s="516">
        <v>4946.8869999999997</v>
      </c>
      <c r="AU30" s="516">
        <v>5016.5540000000001</v>
      </c>
      <c r="AV30" s="516">
        <v>5055.5389999999998</v>
      </c>
      <c r="AW30" s="516">
        <v>5334.9719999999998</v>
      </c>
      <c r="AY30" s="516">
        <v>4247.6909999999998</v>
      </c>
      <c r="AZ30" s="516">
        <v>3671.8110000000001</v>
      </c>
      <c r="BA30" s="516">
        <v>3504.2840000000001</v>
      </c>
      <c r="BB30" s="516">
        <v>3316.4070000000002</v>
      </c>
      <c r="BC30" s="516">
        <v>3436.22</v>
      </c>
      <c r="BD30" s="516">
        <v>3466.77</v>
      </c>
      <c r="BE30" s="516">
        <v>3326.223</v>
      </c>
      <c r="BF30" s="516">
        <v>3147.1570000000002</v>
      </c>
      <c r="BG30" s="516">
        <v>3241.5720000000001</v>
      </c>
      <c r="BI30" s="477" t="s">
        <v>358</v>
      </c>
    </row>
    <row r="31" spans="1:61" x14ac:dyDescent="0.2">
      <c r="D31" s="507" t="s">
        <v>371</v>
      </c>
      <c r="E31" s="508"/>
      <c r="F31" s="506"/>
      <c r="G31" s="506"/>
      <c r="H31" s="506"/>
      <c r="I31" s="506"/>
      <c r="K31" s="506"/>
      <c r="L31" s="506"/>
      <c r="M31" s="506"/>
      <c r="N31" s="506"/>
      <c r="O31" s="506"/>
      <c r="P31" s="506"/>
      <c r="Q31" s="506"/>
      <c r="R31" s="506"/>
      <c r="S31" s="506"/>
      <c r="U31" s="506"/>
      <c r="V31" s="506"/>
      <c r="W31" s="506"/>
      <c r="X31" s="506"/>
      <c r="Y31" s="506"/>
      <c r="Z31" s="506"/>
      <c r="AA31" s="506"/>
      <c r="AB31" s="506"/>
      <c r="AC31" s="506"/>
      <c r="AE31" s="506"/>
      <c r="AF31" s="506"/>
      <c r="AG31" s="506"/>
      <c r="AH31" s="506"/>
      <c r="AI31" s="506"/>
      <c r="AJ31" s="506"/>
      <c r="AK31" s="506"/>
      <c r="AL31" s="506"/>
      <c r="AM31" s="506"/>
      <c r="AO31" s="506"/>
      <c r="AP31" s="506"/>
      <c r="AQ31" s="506"/>
      <c r="AR31" s="506"/>
      <c r="AS31" s="506"/>
      <c r="AT31" s="506"/>
      <c r="AU31" s="506"/>
      <c r="AV31" s="506"/>
      <c r="AW31" s="506"/>
      <c r="AY31" s="506"/>
      <c r="AZ31" s="506"/>
      <c r="BA31" s="506"/>
      <c r="BB31" s="506"/>
      <c r="BC31" s="506"/>
      <c r="BD31" s="506"/>
      <c r="BE31" s="506"/>
      <c r="BF31" s="506"/>
      <c r="BG31" s="506"/>
    </row>
    <row r="32" spans="1:61" hidden="1" x14ac:dyDescent="0.2">
      <c r="B32" s="475" t="s">
        <v>324</v>
      </c>
      <c r="D32" s="502" t="s">
        <v>371</v>
      </c>
      <c r="E32" s="475" t="str">
        <f>+VLOOKUP($E$2,[2]Sheet1!$B$1:$C$11,2,FALSE)</f>
        <v>SCUSA unadjusted</v>
      </c>
      <c r="F32" s="476" t="str">
        <f>+$E$32</f>
        <v>SCUSA unadjusted</v>
      </c>
      <c r="G32" s="476" t="str">
        <f t="shared" ref="G32:I32" si="2">+$E$32</f>
        <v>SCUSA unadjusted</v>
      </c>
      <c r="H32" s="476" t="str">
        <f t="shared" si="2"/>
        <v>SCUSA unadjusted</v>
      </c>
      <c r="I32" s="476" t="str">
        <f t="shared" si="2"/>
        <v>SCUSA unadjusted</v>
      </c>
      <c r="J32" s="476"/>
      <c r="K32" s="476" t="str">
        <f t="shared" ref="K32:S32" si="3">+$E$32</f>
        <v>SCUSA unadjusted</v>
      </c>
      <c r="L32" s="476" t="str">
        <f t="shared" si="3"/>
        <v>SCUSA unadjusted</v>
      </c>
      <c r="M32" s="476" t="str">
        <f t="shared" si="3"/>
        <v>SCUSA unadjusted</v>
      </c>
      <c r="N32" s="476" t="str">
        <f t="shared" si="3"/>
        <v>SCUSA unadjusted</v>
      </c>
      <c r="O32" s="476" t="str">
        <f t="shared" si="3"/>
        <v>SCUSA unadjusted</v>
      </c>
      <c r="P32" s="476" t="str">
        <f t="shared" si="3"/>
        <v>SCUSA unadjusted</v>
      </c>
      <c r="Q32" s="476" t="str">
        <f t="shared" si="3"/>
        <v>SCUSA unadjusted</v>
      </c>
      <c r="R32" s="476" t="str">
        <f t="shared" si="3"/>
        <v>SCUSA unadjusted</v>
      </c>
      <c r="S32" s="476" t="str">
        <f t="shared" si="3"/>
        <v>SCUSA unadjusted</v>
      </c>
      <c r="T32" s="476"/>
      <c r="U32" s="476" t="str">
        <f t="shared" ref="U32:AC32" si="4">+$E$32</f>
        <v>SCUSA unadjusted</v>
      </c>
      <c r="V32" s="476" t="str">
        <f t="shared" si="4"/>
        <v>SCUSA unadjusted</v>
      </c>
      <c r="W32" s="476" t="str">
        <f t="shared" si="4"/>
        <v>SCUSA unadjusted</v>
      </c>
      <c r="X32" s="476" t="str">
        <f t="shared" si="4"/>
        <v>SCUSA unadjusted</v>
      </c>
      <c r="Y32" s="476" t="str">
        <f t="shared" si="4"/>
        <v>SCUSA unadjusted</v>
      </c>
      <c r="Z32" s="476" t="str">
        <f t="shared" si="4"/>
        <v>SCUSA unadjusted</v>
      </c>
      <c r="AA32" s="476" t="str">
        <f t="shared" si="4"/>
        <v>SCUSA unadjusted</v>
      </c>
      <c r="AB32" s="476" t="str">
        <f t="shared" si="4"/>
        <v>SCUSA unadjusted</v>
      </c>
      <c r="AC32" s="476" t="str">
        <f t="shared" si="4"/>
        <v>SCUSA unadjusted</v>
      </c>
      <c r="AD32" s="476"/>
      <c r="AE32" s="476" t="str">
        <f t="shared" ref="AE32:AM32" si="5">+$E$32</f>
        <v>SCUSA unadjusted</v>
      </c>
      <c r="AF32" s="476" t="str">
        <f t="shared" si="5"/>
        <v>SCUSA unadjusted</v>
      </c>
      <c r="AG32" s="476" t="str">
        <f t="shared" si="5"/>
        <v>SCUSA unadjusted</v>
      </c>
      <c r="AH32" s="476" t="str">
        <f t="shared" si="5"/>
        <v>SCUSA unadjusted</v>
      </c>
      <c r="AI32" s="476" t="str">
        <f t="shared" si="5"/>
        <v>SCUSA unadjusted</v>
      </c>
      <c r="AJ32" s="476" t="str">
        <f t="shared" si="5"/>
        <v>SCUSA unadjusted</v>
      </c>
      <c r="AK32" s="476" t="str">
        <f t="shared" si="5"/>
        <v>SCUSA unadjusted</v>
      </c>
      <c r="AL32" s="476" t="str">
        <f t="shared" si="5"/>
        <v>SCUSA unadjusted</v>
      </c>
      <c r="AM32" s="476" t="str">
        <f t="shared" si="5"/>
        <v>SCUSA unadjusted</v>
      </c>
      <c r="AN32" s="476"/>
      <c r="AO32" s="476" t="str">
        <f t="shared" ref="AO32:AW32" si="6">+$E$32</f>
        <v>SCUSA unadjusted</v>
      </c>
      <c r="AP32" s="476" t="str">
        <f t="shared" si="6"/>
        <v>SCUSA unadjusted</v>
      </c>
      <c r="AQ32" s="476" t="str">
        <f t="shared" si="6"/>
        <v>SCUSA unadjusted</v>
      </c>
      <c r="AR32" s="476" t="str">
        <f t="shared" si="6"/>
        <v>SCUSA unadjusted</v>
      </c>
      <c r="AS32" s="476" t="str">
        <f t="shared" si="6"/>
        <v>SCUSA unadjusted</v>
      </c>
      <c r="AT32" s="476" t="str">
        <f t="shared" si="6"/>
        <v>SCUSA unadjusted</v>
      </c>
      <c r="AU32" s="476" t="str">
        <f t="shared" si="6"/>
        <v>SCUSA unadjusted</v>
      </c>
      <c r="AV32" s="476" t="str">
        <f t="shared" si="6"/>
        <v>SCUSA unadjusted</v>
      </c>
      <c r="AW32" s="476" t="str">
        <f t="shared" si="6"/>
        <v>SCUSA unadjusted</v>
      </c>
      <c r="AX32" s="476"/>
      <c r="AY32" s="476" t="str">
        <f t="shared" ref="AY32:BG32" si="7">+$E$32</f>
        <v>SCUSA unadjusted</v>
      </c>
      <c r="AZ32" s="476" t="str">
        <f t="shared" si="7"/>
        <v>SCUSA unadjusted</v>
      </c>
      <c r="BA32" s="476" t="str">
        <f t="shared" si="7"/>
        <v>SCUSA unadjusted</v>
      </c>
      <c r="BB32" s="476" t="str">
        <f t="shared" si="7"/>
        <v>SCUSA unadjusted</v>
      </c>
      <c r="BC32" s="476" t="str">
        <f t="shared" si="7"/>
        <v>SCUSA unadjusted</v>
      </c>
      <c r="BD32" s="476" t="str">
        <f t="shared" si="7"/>
        <v>SCUSA unadjusted</v>
      </c>
      <c r="BE32" s="476" t="str">
        <f t="shared" si="7"/>
        <v>SCUSA unadjusted</v>
      </c>
      <c r="BF32" s="476" t="str">
        <f t="shared" si="7"/>
        <v>SCUSA unadjusted</v>
      </c>
      <c r="BG32" s="476" t="str">
        <f t="shared" si="7"/>
        <v>SCUSA unadjusted</v>
      </c>
      <c r="BH32" s="475"/>
    </row>
    <row r="33" spans="2:61" hidden="1" x14ac:dyDescent="0.2">
      <c r="B33" s="475" t="s">
        <v>324</v>
      </c>
      <c r="D33" s="474" t="s">
        <v>371</v>
      </c>
      <c r="F33" s="476" t="s">
        <v>326</v>
      </c>
      <c r="G33" s="476" t="s">
        <v>326</v>
      </c>
      <c r="H33" s="476" t="s">
        <v>326</v>
      </c>
      <c r="I33" s="476" t="s">
        <v>327</v>
      </c>
      <c r="J33" s="476"/>
      <c r="K33" s="476" t="s">
        <v>327</v>
      </c>
      <c r="L33" s="476" t="s">
        <v>327</v>
      </c>
      <c r="M33" s="476" t="s">
        <v>327</v>
      </c>
      <c r="N33" s="476" t="s">
        <v>327</v>
      </c>
      <c r="O33" s="476" t="s">
        <v>327</v>
      </c>
      <c r="P33" s="476" t="s">
        <v>327</v>
      </c>
      <c r="Q33" s="476" t="s">
        <v>327</v>
      </c>
      <c r="R33" s="476" t="s">
        <v>327</v>
      </c>
      <c r="S33" s="476" t="s">
        <v>327</v>
      </c>
      <c r="T33" s="476"/>
      <c r="U33" s="476" t="s">
        <v>327</v>
      </c>
      <c r="V33" s="476" t="s">
        <v>327</v>
      </c>
      <c r="W33" s="476" t="s">
        <v>327</v>
      </c>
      <c r="X33" s="476" t="s">
        <v>327</v>
      </c>
      <c r="Y33" s="476" t="s">
        <v>327</v>
      </c>
      <c r="Z33" s="476" t="s">
        <v>327</v>
      </c>
      <c r="AA33" s="476" t="s">
        <v>327</v>
      </c>
      <c r="AB33" s="476" t="s">
        <v>327</v>
      </c>
      <c r="AC33" s="476" t="s">
        <v>327</v>
      </c>
      <c r="AD33" s="476"/>
      <c r="AE33" s="476" t="s">
        <v>327</v>
      </c>
      <c r="AF33" s="476" t="s">
        <v>327</v>
      </c>
      <c r="AG33" s="476" t="s">
        <v>327</v>
      </c>
      <c r="AH33" s="476" t="s">
        <v>327</v>
      </c>
      <c r="AI33" s="476" t="s">
        <v>327</v>
      </c>
      <c r="AJ33" s="476" t="s">
        <v>327</v>
      </c>
      <c r="AK33" s="476" t="s">
        <v>327</v>
      </c>
      <c r="AL33" s="476" t="s">
        <v>327</v>
      </c>
      <c r="AM33" s="476" t="s">
        <v>327</v>
      </c>
      <c r="AN33" s="476"/>
      <c r="AO33" s="476" t="s">
        <v>327</v>
      </c>
      <c r="AP33" s="476" t="s">
        <v>327</v>
      </c>
      <c r="AQ33" s="476" t="s">
        <v>327</v>
      </c>
      <c r="AR33" s="476" t="s">
        <v>327</v>
      </c>
      <c r="AS33" s="476" t="s">
        <v>327</v>
      </c>
      <c r="AT33" s="476" t="s">
        <v>327</v>
      </c>
      <c r="AU33" s="476" t="s">
        <v>327</v>
      </c>
      <c r="AV33" s="476" t="s">
        <v>327</v>
      </c>
      <c r="AW33" s="476" t="s">
        <v>327</v>
      </c>
      <c r="AX33" s="476"/>
      <c r="AY33" s="476" t="s">
        <v>327</v>
      </c>
      <c r="AZ33" s="476" t="s">
        <v>327</v>
      </c>
      <c r="BA33" s="476" t="s">
        <v>327</v>
      </c>
      <c r="BB33" s="476" t="s">
        <v>327</v>
      </c>
      <c r="BC33" s="476" t="s">
        <v>327</v>
      </c>
      <c r="BD33" s="476" t="s">
        <v>327</v>
      </c>
      <c r="BE33" s="476" t="s">
        <v>327</v>
      </c>
      <c r="BF33" s="476" t="s">
        <v>327</v>
      </c>
      <c r="BG33" s="476" t="s">
        <v>327</v>
      </c>
      <c r="BH33" s="475"/>
    </row>
    <row r="34" spans="2:61" hidden="1" x14ac:dyDescent="0.2">
      <c r="B34" s="475" t="s">
        <v>324</v>
      </c>
      <c r="D34" s="474" t="s">
        <v>371</v>
      </c>
      <c r="E34" s="475"/>
      <c r="F34" s="476" t="s">
        <v>329</v>
      </c>
      <c r="G34" s="476" t="s">
        <v>329</v>
      </c>
      <c r="H34" s="476" t="s">
        <v>329</v>
      </c>
      <c r="I34" s="476" t="s">
        <v>329</v>
      </c>
      <c r="J34" s="476"/>
      <c r="K34" s="476" t="s">
        <v>330</v>
      </c>
      <c r="L34" s="476" t="s">
        <v>330</v>
      </c>
      <c r="M34" s="476" t="s">
        <v>330</v>
      </c>
      <c r="N34" s="476" t="s">
        <v>330</v>
      </c>
      <c r="O34" s="476" t="s">
        <v>330</v>
      </c>
      <c r="P34" s="476" t="s">
        <v>330</v>
      </c>
      <c r="Q34" s="476" t="s">
        <v>330</v>
      </c>
      <c r="R34" s="476" t="s">
        <v>330</v>
      </c>
      <c r="S34" s="476" t="s">
        <v>330</v>
      </c>
      <c r="T34" s="476"/>
      <c r="U34" s="476" t="s">
        <v>331</v>
      </c>
      <c r="V34" s="476" t="s">
        <v>331</v>
      </c>
      <c r="W34" s="476" t="s">
        <v>331</v>
      </c>
      <c r="X34" s="476" t="s">
        <v>331</v>
      </c>
      <c r="Y34" s="476" t="s">
        <v>331</v>
      </c>
      <c r="Z34" s="476" t="s">
        <v>331</v>
      </c>
      <c r="AA34" s="476" t="s">
        <v>331</v>
      </c>
      <c r="AB34" s="476" t="s">
        <v>331</v>
      </c>
      <c r="AC34" s="476" t="s">
        <v>331</v>
      </c>
      <c r="AD34" s="476"/>
      <c r="AE34" s="476" t="s">
        <v>332</v>
      </c>
      <c r="AF34" s="476" t="s">
        <v>332</v>
      </c>
      <c r="AG34" s="476" t="s">
        <v>332</v>
      </c>
      <c r="AH34" s="476" t="s">
        <v>332</v>
      </c>
      <c r="AI34" s="476" t="s">
        <v>332</v>
      </c>
      <c r="AJ34" s="476" t="s">
        <v>332</v>
      </c>
      <c r="AK34" s="476" t="s">
        <v>332</v>
      </c>
      <c r="AL34" s="476" t="s">
        <v>332</v>
      </c>
      <c r="AM34" s="476" t="s">
        <v>332</v>
      </c>
      <c r="AN34" s="476"/>
      <c r="AO34" s="476" t="s">
        <v>333</v>
      </c>
      <c r="AP34" s="476" t="s">
        <v>333</v>
      </c>
      <c r="AQ34" s="476" t="s">
        <v>333</v>
      </c>
      <c r="AR34" s="476" t="s">
        <v>333</v>
      </c>
      <c r="AS34" s="476" t="s">
        <v>333</v>
      </c>
      <c r="AT34" s="476" t="s">
        <v>333</v>
      </c>
      <c r="AU34" s="476" t="s">
        <v>333</v>
      </c>
      <c r="AV34" s="476" t="s">
        <v>333</v>
      </c>
      <c r="AW34" s="476" t="s">
        <v>333</v>
      </c>
      <c r="AX34" s="476"/>
      <c r="AY34" s="476" t="s">
        <v>334</v>
      </c>
      <c r="AZ34" s="476" t="s">
        <v>334</v>
      </c>
      <c r="BA34" s="476" t="s">
        <v>334</v>
      </c>
      <c r="BB34" s="476" t="s">
        <v>334</v>
      </c>
      <c r="BC34" s="476" t="s">
        <v>334</v>
      </c>
      <c r="BD34" s="476" t="s">
        <v>334</v>
      </c>
      <c r="BE34" s="476" t="s">
        <v>334</v>
      </c>
      <c r="BF34" s="476" t="s">
        <v>334</v>
      </c>
      <c r="BG34" s="476" t="s">
        <v>334</v>
      </c>
      <c r="BH34" s="475"/>
    </row>
    <row r="35" spans="2:61" hidden="1" x14ac:dyDescent="0.2">
      <c r="B35" s="475" t="s">
        <v>324</v>
      </c>
      <c r="D35" s="474" t="s">
        <v>371</v>
      </c>
      <c r="E35" s="475"/>
      <c r="F35" s="476" t="s">
        <v>336</v>
      </c>
      <c r="G35" s="476" t="s">
        <v>337</v>
      </c>
      <c r="H35" s="476" t="s">
        <v>338</v>
      </c>
      <c r="I35" s="476" t="s">
        <v>339</v>
      </c>
      <c r="J35" s="476"/>
      <c r="K35" s="476" t="s">
        <v>340</v>
      </c>
      <c r="L35" s="476" t="s">
        <v>341</v>
      </c>
      <c r="M35" s="476" t="s">
        <v>342</v>
      </c>
      <c r="N35" s="476" t="s">
        <v>343</v>
      </c>
      <c r="O35" s="476" t="s">
        <v>344</v>
      </c>
      <c r="P35" s="476" t="s">
        <v>345</v>
      </c>
      <c r="Q35" s="476" t="s">
        <v>346</v>
      </c>
      <c r="R35" s="476" t="s">
        <v>347</v>
      </c>
      <c r="S35" s="476" t="s">
        <v>348</v>
      </c>
      <c r="T35" s="476"/>
      <c r="U35" s="476" t="s">
        <v>340</v>
      </c>
      <c r="V35" s="476" t="s">
        <v>341</v>
      </c>
      <c r="W35" s="476" t="s">
        <v>342</v>
      </c>
      <c r="X35" s="476" t="s">
        <v>343</v>
      </c>
      <c r="Y35" s="476" t="s">
        <v>344</v>
      </c>
      <c r="Z35" s="476" t="s">
        <v>345</v>
      </c>
      <c r="AA35" s="476" t="s">
        <v>346</v>
      </c>
      <c r="AB35" s="476" t="s">
        <v>347</v>
      </c>
      <c r="AC35" s="476" t="s">
        <v>348</v>
      </c>
      <c r="AD35" s="476"/>
      <c r="AE35" s="476" t="s">
        <v>340</v>
      </c>
      <c r="AF35" s="476" t="s">
        <v>341</v>
      </c>
      <c r="AG35" s="476" t="s">
        <v>342</v>
      </c>
      <c r="AH35" s="476" t="s">
        <v>343</v>
      </c>
      <c r="AI35" s="476" t="s">
        <v>344</v>
      </c>
      <c r="AJ35" s="476" t="s">
        <v>345</v>
      </c>
      <c r="AK35" s="476" t="s">
        <v>346</v>
      </c>
      <c r="AL35" s="476" t="s">
        <v>347</v>
      </c>
      <c r="AM35" s="476" t="s">
        <v>348</v>
      </c>
      <c r="AN35" s="476"/>
      <c r="AO35" s="476" t="s">
        <v>340</v>
      </c>
      <c r="AP35" s="476" t="s">
        <v>341</v>
      </c>
      <c r="AQ35" s="476" t="s">
        <v>342</v>
      </c>
      <c r="AR35" s="476" t="s">
        <v>343</v>
      </c>
      <c r="AS35" s="476" t="s">
        <v>344</v>
      </c>
      <c r="AT35" s="476" t="s">
        <v>345</v>
      </c>
      <c r="AU35" s="476" t="s">
        <v>346</v>
      </c>
      <c r="AV35" s="476" t="s">
        <v>347</v>
      </c>
      <c r="AW35" s="476" t="s">
        <v>348</v>
      </c>
      <c r="AX35" s="476"/>
      <c r="AY35" s="476" t="s">
        <v>340</v>
      </c>
      <c r="AZ35" s="476" t="s">
        <v>341</v>
      </c>
      <c r="BA35" s="476" t="s">
        <v>342</v>
      </c>
      <c r="BB35" s="476" t="s">
        <v>343</v>
      </c>
      <c r="BC35" s="476" t="s">
        <v>344</v>
      </c>
      <c r="BD35" s="476" t="s">
        <v>345</v>
      </c>
      <c r="BE35" s="476" t="s">
        <v>346</v>
      </c>
      <c r="BF35" s="476" t="s">
        <v>347</v>
      </c>
      <c r="BG35" s="476" t="s">
        <v>348</v>
      </c>
      <c r="BH35" s="475"/>
    </row>
    <row r="36" spans="2:61" hidden="1" x14ac:dyDescent="0.2">
      <c r="B36" s="475" t="s">
        <v>324</v>
      </c>
      <c r="D36" s="474" t="s">
        <v>371</v>
      </c>
      <c r="E36" s="475"/>
      <c r="F36" s="476" t="s">
        <v>349</v>
      </c>
      <c r="G36" s="476" t="s">
        <v>349</v>
      </c>
      <c r="H36" s="476" t="s">
        <v>349</v>
      </c>
      <c r="I36" s="476" t="s">
        <v>350</v>
      </c>
      <c r="J36" s="476"/>
      <c r="K36" s="476" t="s">
        <v>198</v>
      </c>
      <c r="L36" s="476" t="s">
        <v>199</v>
      </c>
      <c r="M36" s="476" t="s">
        <v>200</v>
      </c>
      <c r="N36" s="476" t="s">
        <v>201</v>
      </c>
      <c r="O36" s="476" t="s">
        <v>202</v>
      </c>
      <c r="P36" s="476" t="s">
        <v>203</v>
      </c>
      <c r="Q36" s="476" t="s">
        <v>204</v>
      </c>
      <c r="R36" s="476" t="s">
        <v>205</v>
      </c>
      <c r="S36" s="476" t="s">
        <v>206</v>
      </c>
      <c r="T36" s="476"/>
      <c r="U36" s="476" t="s">
        <v>198</v>
      </c>
      <c r="V36" s="476" t="s">
        <v>199</v>
      </c>
      <c r="W36" s="476" t="s">
        <v>200</v>
      </c>
      <c r="X36" s="476" t="s">
        <v>201</v>
      </c>
      <c r="Y36" s="476" t="s">
        <v>202</v>
      </c>
      <c r="Z36" s="476" t="s">
        <v>203</v>
      </c>
      <c r="AA36" s="476" t="s">
        <v>204</v>
      </c>
      <c r="AB36" s="476" t="s">
        <v>205</v>
      </c>
      <c r="AC36" s="476" t="s">
        <v>206</v>
      </c>
      <c r="AD36" s="476"/>
      <c r="AE36" s="476" t="s">
        <v>198</v>
      </c>
      <c r="AF36" s="476" t="s">
        <v>199</v>
      </c>
      <c r="AG36" s="476" t="s">
        <v>200</v>
      </c>
      <c r="AH36" s="476" t="s">
        <v>201</v>
      </c>
      <c r="AI36" s="476" t="s">
        <v>202</v>
      </c>
      <c r="AJ36" s="476" t="s">
        <v>203</v>
      </c>
      <c r="AK36" s="476" t="s">
        <v>204</v>
      </c>
      <c r="AL36" s="476" t="s">
        <v>205</v>
      </c>
      <c r="AM36" s="476" t="s">
        <v>206</v>
      </c>
      <c r="AN36" s="476"/>
      <c r="AO36" s="476" t="s">
        <v>198</v>
      </c>
      <c r="AP36" s="476" t="s">
        <v>199</v>
      </c>
      <c r="AQ36" s="476" t="s">
        <v>200</v>
      </c>
      <c r="AR36" s="476" t="s">
        <v>201</v>
      </c>
      <c r="AS36" s="476" t="s">
        <v>202</v>
      </c>
      <c r="AT36" s="476" t="s">
        <v>203</v>
      </c>
      <c r="AU36" s="476" t="s">
        <v>204</v>
      </c>
      <c r="AV36" s="476" t="s">
        <v>205</v>
      </c>
      <c r="AW36" s="476" t="s">
        <v>206</v>
      </c>
      <c r="AX36" s="476"/>
      <c r="AY36" s="476" t="s">
        <v>198</v>
      </c>
      <c r="AZ36" s="476" t="s">
        <v>199</v>
      </c>
      <c r="BA36" s="476" t="s">
        <v>200</v>
      </c>
      <c r="BB36" s="476" t="s">
        <v>201</v>
      </c>
      <c r="BC36" s="476" t="s">
        <v>202</v>
      </c>
      <c r="BD36" s="476" t="s">
        <v>203</v>
      </c>
      <c r="BE36" s="476" t="s">
        <v>204</v>
      </c>
      <c r="BF36" s="476" t="s">
        <v>205</v>
      </c>
      <c r="BG36" s="476" t="s">
        <v>206</v>
      </c>
      <c r="BH36" s="475"/>
    </row>
    <row r="37" spans="2:61" hidden="1" x14ac:dyDescent="0.2">
      <c r="B37" s="475" t="s">
        <v>324</v>
      </c>
      <c r="D37" s="499" t="s">
        <v>371</v>
      </c>
      <c r="E37" s="508"/>
      <c r="F37" s="506"/>
      <c r="G37" s="506"/>
      <c r="H37" s="506"/>
      <c r="I37" s="506"/>
      <c r="K37" s="506"/>
      <c r="L37" s="506"/>
      <c r="M37" s="506"/>
      <c r="N37" s="506"/>
      <c r="O37" s="506"/>
      <c r="P37" s="506"/>
      <c r="Q37" s="506"/>
      <c r="R37" s="506"/>
      <c r="S37" s="506"/>
      <c r="U37" s="506"/>
      <c r="V37" s="506"/>
      <c r="W37" s="506"/>
      <c r="X37" s="506"/>
      <c r="Y37" s="506"/>
      <c r="Z37" s="506"/>
      <c r="AA37" s="506"/>
      <c r="AB37" s="506"/>
      <c r="AC37" s="506"/>
      <c r="AE37" s="506"/>
      <c r="AF37" s="506"/>
      <c r="AG37" s="506"/>
      <c r="AH37" s="506"/>
      <c r="AI37" s="506"/>
      <c r="AJ37" s="506"/>
      <c r="AK37" s="506"/>
      <c r="AL37" s="506"/>
      <c r="AM37" s="506"/>
      <c r="AO37" s="506"/>
      <c r="AP37" s="506"/>
      <c r="AQ37" s="506"/>
      <c r="AR37" s="506"/>
      <c r="AS37" s="506"/>
      <c r="AT37" s="506"/>
      <c r="AU37" s="506"/>
      <c r="AV37" s="506"/>
      <c r="AW37" s="506"/>
      <c r="AY37" s="506"/>
      <c r="AZ37" s="506"/>
      <c r="BA37" s="506"/>
      <c r="BB37" s="506"/>
      <c r="BC37" s="506"/>
      <c r="BD37" s="506"/>
      <c r="BE37" s="506"/>
      <c r="BF37" s="506"/>
      <c r="BG37" s="506"/>
    </row>
    <row r="38" spans="2:61" x14ac:dyDescent="0.2">
      <c r="B38" s="475"/>
      <c r="D38" s="499" t="s">
        <v>371</v>
      </c>
      <c r="E38" s="503" t="s">
        <v>426</v>
      </c>
      <c r="F38" s="506"/>
      <c r="G38" s="506"/>
      <c r="H38" s="506"/>
      <c r="I38" s="506"/>
      <c r="K38" s="506"/>
      <c r="L38" s="506"/>
      <c r="M38" s="506"/>
      <c r="N38" s="506"/>
      <c r="O38" s="506"/>
      <c r="P38" s="506"/>
      <c r="Q38" s="506"/>
      <c r="R38" s="506"/>
      <c r="S38" s="506"/>
      <c r="U38" s="506"/>
      <c r="V38" s="506"/>
      <c r="W38" s="506"/>
      <c r="X38" s="506"/>
      <c r="Y38" s="506"/>
      <c r="Z38" s="506"/>
      <c r="AA38" s="506"/>
      <c r="AB38" s="506"/>
      <c r="AC38" s="506"/>
      <c r="AE38" s="506"/>
      <c r="AF38" s="506"/>
      <c r="AG38" s="506"/>
      <c r="AH38" s="506"/>
      <c r="AI38" s="506"/>
      <c r="AJ38" s="506"/>
      <c r="AK38" s="506"/>
      <c r="AL38" s="506"/>
      <c r="AM38" s="506"/>
      <c r="AO38" s="506"/>
      <c r="AP38" s="506"/>
      <c r="AQ38" s="506"/>
      <c r="AR38" s="506"/>
      <c r="AS38" s="506"/>
      <c r="AT38" s="506"/>
      <c r="AU38" s="506"/>
      <c r="AV38" s="506"/>
      <c r="AW38" s="506"/>
      <c r="AY38" s="506"/>
      <c r="AZ38" s="506"/>
      <c r="BA38" s="506"/>
      <c r="BB38" s="506"/>
      <c r="BC38" s="506"/>
      <c r="BD38" s="506"/>
      <c r="BE38" s="506"/>
      <c r="BF38" s="506"/>
      <c r="BG38" s="506"/>
    </row>
    <row r="39" spans="2:61" x14ac:dyDescent="0.2">
      <c r="B39" s="475" t="s">
        <v>427</v>
      </c>
      <c r="C39" s="472" t="s">
        <v>428</v>
      </c>
      <c r="D39" s="507" t="s">
        <v>429</v>
      </c>
      <c r="E39" s="517" t="s">
        <v>430</v>
      </c>
      <c r="F39" s="509">
        <v>1579.7339999999999</v>
      </c>
      <c r="G39" s="510">
        <v>1685.675</v>
      </c>
      <c r="H39" s="510">
        <v>1595.6790000000001</v>
      </c>
      <c r="I39" s="510">
        <v>1582.8420000000001</v>
      </c>
      <c r="J39" s="506"/>
      <c r="K39" s="510">
        <v>1582.8420000000001</v>
      </c>
      <c r="L39" s="510">
        <v>1582.8420000000001</v>
      </c>
      <c r="M39" s="510">
        <v>1582.8420000000001</v>
      </c>
      <c r="N39" s="510">
        <v>1582.8420000000001</v>
      </c>
      <c r="O39" s="510">
        <v>1582.8420000000001</v>
      </c>
      <c r="P39" s="510">
        <v>1582.8420000000001</v>
      </c>
      <c r="Q39" s="510">
        <v>1582.8420000000001</v>
      </c>
      <c r="R39" s="510">
        <v>1582.8420000000001</v>
      </c>
      <c r="S39" s="510">
        <v>1582.8420000000001</v>
      </c>
      <c r="T39" s="506"/>
      <c r="U39" s="510">
        <v>1582.8420000000001</v>
      </c>
      <c r="V39" s="510">
        <v>1582.8420000000001</v>
      </c>
      <c r="W39" s="510">
        <v>1582.8420000000001</v>
      </c>
      <c r="X39" s="510">
        <v>1582.8420000000001</v>
      </c>
      <c r="Y39" s="510">
        <v>1582.8420000000001</v>
      </c>
      <c r="Z39" s="510">
        <v>1582.8420000000001</v>
      </c>
      <c r="AA39" s="510">
        <v>1582.8420000000001</v>
      </c>
      <c r="AB39" s="510">
        <v>1582.8420000000001</v>
      </c>
      <c r="AC39" s="510">
        <v>1582.8420000000001</v>
      </c>
      <c r="AD39" s="506"/>
      <c r="AE39" s="510">
        <v>1582.8420000000001</v>
      </c>
      <c r="AF39" s="510">
        <v>1582.8420000000001</v>
      </c>
      <c r="AG39" s="510">
        <v>1582.8420000000001</v>
      </c>
      <c r="AH39" s="510">
        <v>1582.8420000000001</v>
      </c>
      <c r="AI39" s="510">
        <v>1582.8420000000001</v>
      </c>
      <c r="AJ39" s="510">
        <v>1582.8420000000001</v>
      </c>
      <c r="AK39" s="510">
        <v>1582.8420000000001</v>
      </c>
      <c r="AL39" s="510">
        <v>1582.8420000000001</v>
      </c>
      <c r="AM39" s="510">
        <v>1582.8420000000001</v>
      </c>
      <c r="AN39" s="506"/>
      <c r="AO39" s="510">
        <v>1582.8420000000001</v>
      </c>
      <c r="AP39" s="510">
        <v>1582.8420000000001</v>
      </c>
      <c r="AQ39" s="510">
        <v>1582.8420000000001</v>
      </c>
      <c r="AR39" s="510">
        <v>1582.8420000000001</v>
      </c>
      <c r="AS39" s="510">
        <v>1582.8420000000001</v>
      </c>
      <c r="AT39" s="510">
        <v>1582.8420000000001</v>
      </c>
      <c r="AU39" s="510">
        <v>1582.8420000000001</v>
      </c>
      <c r="AV39" s="510">
        <v>1582.8420000000001</v>
      </c>
      <c r="AW39" s="510">
        <v>1582.8420000000001</v>
      </c>
      <c r="AX39" s="506"/>
      <c r="AY39" s="510">
        <v>1582.8420000000001</v>
      </c>
      <c r="AZ39" s="510">
        <v>1582.8420000000001</v>
      </c>
      <c r="BA39" s="510">
        <v>1582.8420000000001</v>
      </c>
      <c r="BB39" s="510">
        <v>1582.8420000000001</v>
      </c>
      <c r="BC39" s="510">
        <v>1582.8420000000001</v>
      </c>
      <c r="BD39" s="510">
        <v>1582.8420000000001</v>
      </c>
      <c r="BE39" s="510">
        <v>1582.8420000000001</v>
      </c>
      <c r="BF39" s="510">
        <v>1582.8420000000001</v>
      </c>
      <c r="BG39" s="510">
        <v>1582.8420000000001</v>
      </c>
      <c r="BI39" s="477" t="s">
        <v>431</v>
      </c>
    </row>
    <row r="40" spans="2:61" x14ac:dyDescent="0.2">
      <c r="B40" s="475" t="s">
        <v>432</v>
      </c>
      <c r="C40" s="472" t="s">
        <v>433</v>
      </c>
      <c r="D40" s="507" t="s">
        <v>434</v>
      </c>
      <c r="E40" s="517" t="s">
        <v>435</v>
      </c>
      <c r="F40" s="509">
        <v>2280.0360000000001</v>
      </c>
      <c r="G40" s="510">
        <v>2565.4989999999998</v>
      </c>
      <c r="H40" s="510">
        <v>2789.402</v>
      </c>
      <c r="I40" s="510">
        <v>2857.145</v>
      </c>
      <c r="K40" s="510">
        <v>3273.8040000000001</v>
      </c>
      <c r="L40" s="510">
        <v>3508.9380000000001</v>
      </c>
      <c r="M40" s="510">
        <v>3749.3220000000001</v>
      </c>
      <c r="N40" s="510">
        <v>3930.9960000000001</v>
      </c>
      <c r="O40" s="510">
        <v>4224.6180000000004</v>
      </c>
      <c r="P40" s="510">
        <v>4556.7389999999996</v>
      </c>
      <c r="Q40" s="510">
        <v>4792.0829999999996</v>
      </c>
      <c r="R40" s="510">
        <v>5049.6559999999999</v>
      </c>
      <c r="S40" s="510">
        <v>5432.6319999999996</v>
      </c>
      <c r="U40" s="510">
        <v>2660.4459999999999</v>
      </c>
      <c r="V40" s="510">
        <v>2184.9580000000001</v>
      </c>
      <c r="W40" s="510">
        <v>1835.3620000000001</v>
      </c>
      <c r="X40" s="510">
        <v>1571.7370000000001</v>
      </c>
      <c r="Y40" s="510">
        <v>1556.491</v>
      </c>
      <c r="Z40" s="510">
        <v>1596.8620000000001</v>
      </c>
      <c r="AA40" s="510">
        <v>1380.085</v>
      </c>
      <c r="AB40" s="510">
        <v>1178.547</v>
      </c>
      <c r="AC40" s="510">
        <v>1237.2280000000001</v>
      </c>
      <c r="AE40" s="510">
        <v>3273.8040000000001</v>
      </c>
      <c r="AF40" s="510">
        <v>3508.9380000000001</v>
      </c>
      <c r="AG40" s="510">
        <v>3749.3220000000001</v>
      </c>
      <c r="AH40" s="510">
        <v>3930.9960000000001</v>
      </c>
      <c r="AI40" s="510">
        <v>4224.6180000000004</v>
      </c>
      <c r="AJ40" s="510">
        <v>4556.7389999999996</v>
      </c>
      <c r="AK40" s="510">
        <v>4792.0829999999996</v>
      </c>
      <c r="AL40" s="510">
        <v>5049.6559999999999</v>
      </c>
      <c r="AM40" s="510">
        <v>5432.6319999999996</v>
      </c>
      <c r="AO40" s="510">
        <v>2827.5529999999999</v>
      </c>
      <c r="AP40" s="510">
        <v>2901.8960000000002</v>
      </c>
      <c r="AQ40" s="510">
        <v>2969.1619999999998</v>
      </c>
      <c r="AR40" s="510">
        <v>3039.0540000000001</v>
      </c>
      <c r="AS40" s="510">
        <v>3203.7660000000001</v>
      </c>
      <c r="AT40" s="510">
        <v>3372.2139999999999</v>
      </c>
      <c r="AU40" s="510">
        <v>3441.8809999999999</v>
      </c>
      <c r="AV40" s="510">
        <v>3480.866</v>
      </c>
      <c r="AW40" s="510">
        <v>3760.299</v>
      </c>
      <c r="AY40" s="510">
        <v>2673.018</v>
      </c>
      <c r="AZ40" s="510">
        <v>2097.1379999999999</v>
      </c>
      <c r="BA40" s="510">
        <v>1929.6110000000001</v>
      </c>
      <c r="BB40" s="510">
        <v>1741.7339999999999</v>
      </c>
      <c r="BC40" s="510">
        <v>1861.547</v>
      </c>
      <c r="BD40" s="510">
        <v>1892.097</v>
      </c>
      <c r="BE40" s="510">
        <v>1751.55</v>
      </c>
      <c r="BF40" s="510">
        <v>1572.4839999999999</v>
      </c>
      <c r="BG40" s="510">
        <v>1666.8989999999999</v>
      </c>
      <c r="BI40" s="477" t="s">
        <v>431</v>
      </c>
    </row>
    <row r="41" spans="2:61" x14ac:dyDescent="0.2">
      <c r="B41" s="475" t="s">
        <v>436</v>
      </c>
      <c r="C41" s="472" t="s">
        <v>437</v>
      </c>
      <c r="D41" s="507" t="s">
        <v>438</v>
      </c>
      <c r="E41" s="517" t="s">
        <v>439</v>
      </c>
      <c r="F41" s="509">
        <v>-9.2899999999999991</v>
      </c>
      <c r="G41" s="510">
        <v>-5.7270000000000003</v>
      </c>
      <c r="H41" s="510">
        <v>-24.239000000000001</v>
      </c>
      <c r="I41" s="510">
        <v>2.1219999999999999</v>
      </c>
      <c r="K41" s="510">
        <v>2.1219999999999999</v>
      </c>
      <c r="L41" s="510">
        <v>2.1219999999999999</v>
      </c>
      <c r="M41" s="510">
        <v>2.1219999999999999</v>
      </c>
      <c r="N41" s="510">
        <v>2.1219999999999999</v>
      </c>
      <c r="O41" s="510">
        <v>2.1219999999999999</v>
      </c>
      <c r="P41" s="510">
        <v>2.1219999999999999</v>
      </c>
      <c r="Q41" s="510">
        <v>2.1219999999999999</v>
      </c>
      <c r="R41" s="510">
        <v>2.1219999999999999</v>
      </c>
      <c r="S41" s="510">
        <v>2.1219999999999999</v>
      </c>
      <c r="U41" s="510">
        <v>2.1219999999999999</v>
      </c>
      <c r="V41" s="510">
        <v>2.1219999999999999</v>
      </c>
      <c r="W41" s="510">
        <v>2.1219999999999999</v>
      </c>
      <c r="X41" s="510">
        <v>2.1219999999999999</v>
      </c>
      <c r="Y41" s="510">
        <v>2.1219999999999999</v>
      </c>
      <c r="Z41" s="510">
        <v>2.1219999999999999</v>
      </c>
      <c r="AA41" s="510">
        <v>2.1219999999999999</v>
      </c>
      <c r="AB41" s="510">
        <v>2.1219999999999999</v>
      </c>
      <c r="AC41" s="510">
        <v>2.1219999999999999</v>
      </c>
      <c r="AE41" s="510">
        <v>2.1219999999999999</v>
      </c>
      <c r="AF41" s="510">
        <v>2.1219999999999999</v>
      </c>
      <c r="AG41" s="510">
        <v>2.1219999999999999</v>
      </c>
      <c r="AH41" s="510">
        <v>2.1219999999999999</v>
      </c>
      <c r="AI41" s="510">
        <v>2.1219999999999999</v>
      </c>
      <c r="AJ41" s="510">
        <v>2.1219999999999999</v>
      </c>
      <c r="AK41" s="510">
        <v>2.1219999999999999</v>
      </c>
      <c r="AL41" s="510">
        <v>2.1219999999999999</v>
      </c>
      <c r="AM41" s="510">
        <v>2.1219999999999999</v>
      </c>
      <c r="AO41" s="510">
        <v>2.1219999999999999</v>
      </c>
      <c r="AP41" s="510">
        <v>2.1219999999999999</v>
      </c>
      <c r="AQ41" s="510">
        <v>2.1219999999999999</v>
      </c>
      <c r="AR41" s="510">
        <v>2.1219999999999999</v>
      </c>
      <c r="AS41" s="510">
        <v>2.1219999999999999</v>
      </c>
      <c r="AT41" s="510">
        <v>2.1219999999999999</v>
      </c>
      <c r="AU41" s="510">
        <v>2.1219999999999999</v>
      </c>
      <c r="AV41" s="510">
        <v>2.1219999999999999</v>
      </c>
      <c r="AW41" s="510">
        <v>2.1219999999999999</v>
      </c>
      <c r="AY41" s="510">
        <v>2.1219999999999999</v>
      </c>
      <c r="AZ41" s="510">
        <v>2.1219999999999999</v>
      </c>
      <c r="BA41" s="510">
        <v>2.1219999999999999</v>
      </c>
      <c r="BB41" s="510">
        <v>2.1219999999999999</v>
      </c>
      <c r="BC41" s="510">
        <v>2.1219999999999999</v>
      </c>
      <c r="BD41" s="510">
        <v>2.1219999999999999</v>
      </c>
      <c r="BE41" s="510">
        <v>2.1219999999999999</v>
      </c>
      <c r="BF41" s="510">
        <v>2.1219999999999999</v>
      </c>
      <c r="BG41" s="510">
        <v>2.1219999999999999</v>
      </c>
      <c r="BI41" s="477" t="s">
        <v>431</v>
      </c>
    </row>
    <row r="42" spans="2:61" x14ac:dyDescent="0.2">
      <c r="B42" s="475" t="s">
        <v>440</v>
      </c>
      <c r="C42" s="472" t="s">
        <v>441</v>
      </c>
      <c r="D42" s="507" t="s">
        <v>442</v>
      </c>
      <c r="E42" s="517" t="s">
        <v>443</v>
      </c>
      <c r="F42" s="509">
        <v>0</v>
      </c>
      <c r="G42" s="510">
        <v>0</v>
      </c>
      <c r="H42" s="510">
        <v>0</v>
      </c>
      <c r="I42" s="510"/>
      <c r="K42" s="510"/>
      <c r="L42" s="510"/>
      <c r="M42" s="510"/>
      <c r="N42" s="510"/>
      <c r="O42" s="510"/>
      <c r="P42" s="510"/>
      <c r="Q42" s="510"/>
      <c r="R42" s="510"/>
      <c r="S42" s="510"/>
      <c r="U42" s="510"/>
      <c r="V42" s="510"/>
      <c r="W42" s="510"/>
      <c r="X42" s="510"/>
      <c r="Y42" s="510"/>
      <c r="Z42" s="510"/>
      <c r="AA42" s="510"/>
      <c r="AB42" s="510"/>
      <c r="AC42" s="510"/>
      <c r="AE42" s="510"/>
      <c r="AF42" s="510"/>
      <c r="AG42" s="510"/>
      <c r="AH42" s="510"/>
      <c r="AI42" s="510"/>
      <c r="AJ42" s="510"/>
      <c r="AK42" s="510"/>
      <c r="AL42" s="510"/>
      <c r="AM42" s="510"/>
      <c r="AO42" s="510"/>
      <c r="AP42" s="510"/>
      <c r="AQ42" s="510"/>
      <c r="AR42" s="510"/>
      <c r="AS42" s="510"/>
      <c r="AT42" s="510"/>
      <c r="AU42" s="510"/>
      <c r="AV42" s="510"/>
      <c r="AW42" s="510"/>
      <c r="AY42" s="510"/>
      <c r="AZ42" s="510"/>
      <c r="BA42" s="510"/>
      <c r="BB42" s="510"/>
      <c r="BC42" s="510"/>
      <c r="BD42" s="510"/>
      <c r="BE42" s="510"/>
      <c r="BF42" s="510"/>
      <c r="BG42" s="510"/>
      <c r="BI42" s="477" t="s">
        <v>431</v>
      </c>
    </row>
    <row r="43" spans="2:61" x14ac:dyDescent="0.2">
      <c r="B43" s="475" t="s">
        <v>444</v>
      </c>
      <c r="C43" s="472" t="s">
        <v>445</v>
      </c>
      <c r="D43" s="507" t="s">
        <v>446</v>
      </c>
      <c r="E43" s="517" t="s">
        <v>447</v>
      </c>
      <c r="F43" s="509">
        <v>3850.48</v>
      </c>
      <c r="G43" s="510">
        <v>4245.4470000000001</v>
      </c>
      <c r="H43" s="510">
        <v>4360.8419999999996</v>
      </c>
      <c r="I43" s="510">
        <v>4442.1090000000004</v>
      </c>
      <c r="K43" s="510">
        <v>4858.768</v>
      </c>
      <c r="L43" s="510">
        <v>5093.902</v>
      </c>
      <c r="M43" s="510">
        <v>5334.2860000000001</v>
      </c>
      <c r="N43" s="510">
        <v>5515.96</v>
      </c>
      <c r="O43" s="510">
        <v>5809.5820000000003</v>
      </c>
      <c r="P43" s="510">
        <v>6141.7030000000004</v>
      </c>
      <c r="Q43" s="510">
        <v>6377.0469999999996</v>
      </c>
      <c r="R43" s="510">
        <v>6634.62</v>
      </c>
      <c r="S43" s="510">
        <v>7017.5959999999995</v>
      </c>
      <c r="U43" s="510">
        <v>4245.41</v>
      </c>
      <c r="V43" s="510">
        <v>3769.922</v>
      </c>
      <c r="W43" s="510">
        <v>3420.326</v>
      </c>
      <c r="X43" s="510">
        <v>3156.701</v>
      </c>
      <c r="Y43" s="510">
        <v>3141.4549999999999</v>
      </c>
      <c r="Z43" s="510">
        <v>3181.826</v>
      </c>
      <c r="AA43" s="510">
        <v>2965.049</v>
      </c>
      <c r="AB43" s="510">
        <v>2763.511</v>
      </c>
      <c r="AC43" s="510">
        <v>2822.192</v>
      </c>
      <c r="AE43" s="510">
        <v>4858.768</v>
      </c>
      <c r="AF43" s="510">
        <v>5093.902</v>
      </c>
      <c r="AG43" s="510">
        <v>5334.2860000000001</v>
      </c>
      <c r="AH43" s="510">
        <v>5515.96</v>
      </c>
      <c r="AI43" s="510">
        <v>5809.5820000000003</v>
      </c>
      <c r="AJ43" s="510">
        <v>6141.7030000000004</v>
      </c>
      <c r="AK43" s="510">
        <v>6377.0469999999996</v>
      </c>
      <c r="AL43" s="510">
        <v>6634.62</v>
      </c>
      <c r="AM43" s="510">
        <v>7017.5959999999995</v>
      </c>
      <c r="AO43" s="510">
        <v>4412.5169999999998</v>
      </c>
      <c r="AP43" s="510">
        <v>4486.8599999999997</v>
      </c>
      <c r="AQ43" s="510">
        <v>4554.1260000000002</v>
      </c>
      <c r="AR43" s="510">
        <v>4624.018</v>
      </c>
      <c r="AS43" s="510">
        <v>4788.7299999999996</v>
      </c>
      <c r="AT43" s="510">
        <v>4957.1779999999999</v>
      </c>
      <c r="AU43" s="510">
        <v>5026.8450000000003</v>
      </c>
      <c r="AV43" s="510">
        <v>5065.83</v>
      </c>
      <c r="AW43" s="510">
        <v>5345.2629999999999</v>
      </c>
      <c r="AY43" s="510">
        <v>4257.982</v>
      </c>
      <c r="AZ43" s="510">
        <v>3682.1019999999999</v>
      </c>
      <c r="BA43" s="510">
        <v>3514.5749999999998</v>
      </c>
      <c r="BB43" s="510">
        <v>3326.6979999999999</v>
      </c>
      <c r="BC43" s="510">
        <v>3446.511</v>
      </c>
      <c r="BD43" s="510">
        <v>3477.0610000000001</v>
      </c>
      <c r="BE43" s="510">
        <v>3336.5140000000001</v>
      </c>
      <c r="BF43" s="510">
        <v>3157.4479999999999</v>
      </c>
      <c r="BG43" s="510">
        <v>3251.8629999999998</v>
      </c>
      <c r="BI43" s="477" t="s">
        <v>431</v>
      </c>
    </row>
    <row r="44" spans="2:61" x14ac:dyDescent="0.2">
      <c r="B44" s="475"/>
      <c r="D44" s="499" t="s">
        <v>371</v>
      </c>
      <c r="E44" s="508"/>
      <c r="F44" s="518"/>
      <c r="G44" s="518"/>
      <c r="H44" s="518"/>
      <c r="I44" s="518"/>
      <c r="K44" s="518"/>
      <c r="L44" s="518"/>
      <c r="M44" s="518"/>
      <c r="N44" s="518"/>
      <c r="O44" s="518"/>
      <c r="P44" s="518"/>
      <c r="Q44" s="518"/>
      <c r="R44" s="518"/>
      <c r="S44" s="518"/>
      <c r="U44" s="518"/>
      <c r="V44" s="518"/>
      <c r="W44" s="518"/>
      <c r="X44" s="518"/>
      <c r="Y44" s="518"/>
      <c r="Z44" s="518"/>
      <c r="AA44" s="518"/>
      <c r="AB44" s="518"/>
      <c r="AC44" s="518"/>
      <c r="AE44" s="518"/>
      <c r="AF44" s="518"/>
      <c r="AG44" s="518"/>
      <c r="AH44" s="518"/>
      <c r="AI44" s="518"/>
      <c r="AJ44" s="518"/>
      <c r="AK44" s="518"/>
      <c r="AL44" s="518"/>
      <c r="AM44" s="518"/>
      <c r="AO44" s="518"/>
      <c r="AP44" s="518"/>
      <c r="AQ44" s="518"/>
      <c r="AR44" s="518"/>
      <c r="AS44" s="518"/>
      <c r="AT44" s="518"/>
      <c r="AU44" s="518"/>
      <c r="AV44" s="518"/>
      <c r="AW44" s="518"/>
      <c r="AY44" s="518"/>
      <c r="AZ44" s="518"/>
      <c r="BA44" s="518"/>
      <c r="BB44" s="518"/>
      <c r="BC44" s="518"/>
      <c r="BD44" s="518"/>
      <c r="BE44" s="518"/>
      <c r="BF44" s="518"/>
      <c r="BG44" s="518"/>
    </row>
    <row r="45" spans="2:61" x14ac:dyDescent="0.2">
      <c r="B45" s="475"/>
      <c r="D45" s="499" t="s">
        <v>371</v>
      </c>
      <c r="E45" s="503" t="s">
        <v>448</v>
      </c>
      <c r="F45" s="506"/>
      <c r="G45" s="506"/>
      <c r="H45" s="506"/>
      <c r="I45" s="506"/>
      <c r="K45" s="506"/>
      <c r="L45" s="506"/>
      <c r="M45" s="506"/>
      <c r="N45" s="506"/>
      <c r="O45" s="506"/>
      <c r="P45" s="506"/>
      <c r="Q45" s="506"/>
      <c r="R45" s="506"/>
      <c r="S45" s="506"/>
      <c r="U45" s="506"/>
      <c r="V45" s="506"/>
      <c r="W45" s="506"/>
      <c r="X45" s="506"/>
      <c r="Y45" s="506"/>
      <c r="Z45" s="506"/>
      <c r="AA45" s="506"/>
      <c r="AB45" s="506"/>
      <c r="AC45" s="506"/>
      <c r="AE45" s="506"/>
      <c r="AF45" s="506"/>
      <c r="AG45" s="506"/>
      <c r="AH45" s="506"/>
      <c r="AI45" s="506"/>
      <c r="AJ45" s="506"/>
      <c r="AK45" s="506"/>
      <c r="AL45" s="506"/>
      <c r="AM45" s="506"/>
      <c r="AO45" s="506"/>
      <c r="AP45" s="506"/>
      <c r="AQ45" s="506"/>
      <c r="AR45" s="506"/>
      <c r="AS45" s="506"/>
      <c r="AT45" s="506"/>
      <c r="AU45" s="506"/>
      <c r="AV45" s="506"/>
      <c r="AW45" s="506"/>
      <c r="AY45" s="506"/>
      <c r="AZ45" s="506"/>
      <c r="BA45" s="506"/>
      <c r="BB45" s="506"/>
      <c r="BC45" s="506"/>
      <c r="BD45" s="506"/>
      <c r="BE45" s="506"/>
      <c r="BF45" s="506"/>
      <c r="BG45" s="506"/>
    </row>
    <row r="46" spans="2:61" x14ac:dyDescent="0.2">
      <c r="B46" s="475"/>
      <c r="D46" s="507" t="s">
        <v>371</v>
      </c>
      <c r="E46" s="508"/>
      <c r="F46" s="506"/>
      <c r="G46" s="506"/>
      <c r="H46" s="506"/>
      <c r="I46" s="506"/>
      <c r="J46" s="506"/>
      <c r="K46" s="506"/>
      <c r="L46" s="506"/>
      <c r="M46" s="506"/>
      <c r="N46" s="506"/>
      <c r="O46" s="506"/>
      <c r="P46" s="506"/>
      <c r="Q46" s="506"/>
      <c r="R46" s="506"/>
      <c r="S46" s="506"/>
      <c r="T46" s="506"/>
      <c r="U46" s="506"/>
      <c r="V46" s="506"/>
      <c r="W46" s="506"/>
      <c r="X46" s="506"/>
      <c r="Y46" s="506"/>
      <c r="Z46" s="506"/>
      <c r="AA46" s="506"/>
      <c r="AB46" s="506"/>
      <c r="AC46" s="506"/>
      <c r="AD46" s="506"/>
      <c r="AE46" s="506"/>
      <c r="AF46" s="506"/>
      <c r="AG46" s="506"/>
      <c r="AH46" s="506"/>
      <c r="AI46" s="506"/>
      <c r="AJ46" s="506"/>
      <c r="AK46" s="506"/>
      <c r="AL46" s="506"/>
      <c r="AM46" s="506"/>
      <c r="AN46" s="506"/>
      <c r="AO46" s="506"/>
      <c r="AP46" s="506"/>
      <c r="AQ46" s="506"/>
      <c r="AR46" s="506"/>
      <c r="AS46" s="506"/>
      <c r="AT46" s="506"/>
      <c r="AU46" s="506"/>
      <c r="AV46" s="506"/>
      <c r="AW46" s="506"/>
      <c r="AX46" s="506"/>
      <c r="AY46" s="506"/>
      <c r="AZ46" s="506"/>
      <c r="BA46" s="506"/>
      <c r="BB46" s="506"/>
      <c r="BC46" s="506"/>
      <c r="BD46" s="506"/>
      <c r="BE46" s="506"/>
      <c r="BF46" s="506"/>
      <c r="BG46" s="506"/>
    </row>
    <row r="47" spans="2:61" x14ac:dyDescent="0.2">
      <c r="B47" s="475" t="s">
        <v>449</v>
      </c>
      <c r="C47" s="472" t="s">
        <v>450</v>
      </c>
      <c r="D47" s="507" t="s">
        <v>451</v>
      </c>
      <c r="E47" s="519" t="s">
        <v>452</v>
      </c>
      <c r="F47" s="509">
        <v>62.234999999999999</v>
      </c>
      <c r="G47" s="510">
        <v>61.584000000000003</v>
      </c>
      <c r="H47" s="510">
        <v>61.152999999999999</v>
      </c>
      <c r="I47" s="510">
        <v>60.856999999999999</v>
      </c>
      <c r="J47" s="506"/>
      <c r="K47" s="510">
        <v>60.856999999999999</v>
      </c>
      <c r="L47" s="510">
        <v>60.856999999999999</v>
      </c>
      <c r="M47" s="510">
        <v>60.856999999999999</v>
      </c>
      <c r="N47" s="510">
        <v>60.856999999999999</v>
      </c>
      <c r="O47" s="510">
        <v>60.856999999999999</v>
      </c>
      <c r="P47" s="510">
        <v>60.856999999999999</v>
      </c>
      <c r="Q47" s="510">
        <v>60.856999999999999</v>
      </c>
      <c r="R47" s="510">
        <v>60.856999999999999</v>
      </c>
      <c r="S47" s="510">
        <v>60.856999999999999</v>
      </c>
      <c r="T47" s="506"/>
      <c r="U47" s="510">
        <v>60.856999999999999</v>
      </c>
      <c r="V47" s="510">
        <v>60.856999999999999</v>
      </c>
      <c r="W47" s="510">
        <v>60.856999999999999</v>
      </c>
      <c r="X47" s="510">
        <v>60.856999999999999</v>
      </c>
      <c r="Y47" s="510">
        <v>60.856999999999999</v>
      </c>
      <c r="Z47" s="510">
        <v>60.856999999999999</v>
      </c>
      <c r="AA47" s="510">
        <v>60.856999999999999</v>
      </c>
      <c r="AB47" s="510">
        <v>60.856999999999999</v>
      </c>
      <c r="AC47" s="510">
        <v>60.856999999999999</v>
      </c>
      <c r="AD47" s="506"/>
      <c r="AE47" s="510">
        <v>60.856999999999999</v>
      </c>
      <c r="AF47" s="510">
        <v>60.856999999999999</v>
      </c>
      <c r="AG47" s="510">
        <v>60.856999999999999</v>
      </c>
      <c r="AH47" s="510">
        <v>60.856999999999999</v>
      </c>
      <c r="AI47" s="510">
        <v>60.856999999999999</v>
      </c>
      <c r="AJ47" s="510">
        <v>60.856999999999999</v>
      </c>
      <c r="AK47" s="510">
        <v>60.856999999999999</v>
      </c>
      <c r="AL47" s="510">
        <v>60.856999999999999</v>
      </c>
      <c r="AM47" s="510">
        <v>60.856999999999999</v>
      </c>
      <c r="AN47" s="506"/>
      <c r="AO47" s="510">
        <v>60.856999999999999</v>
      </c>
      <c r="AP47" s="510">
        <v>60.856999999999999</v>
      </c>
      <c r="AQ47" s="510">
        <v>60.856999999999999</v>
      </c>
      <c r="AR47" s="510">
        <v>60.856999999999999</v>
      </c>
      <c r="AS47" s="510">
        <v>60.856999999999999</v>
      </c>
      <c r="AT47" s="510">
        <v>60.856999999999999</v>
      </c>
      <c r="AU47" s="510">
        <v>60.856999999999999</v>
      </c>
      <c r="AV47" s="510">
        <v>60.856999999999999</v>
      </c>
      <c r="AW47" s="510">
        <v>60.856999999999999</v>
      </c>
      <c r="AX47" s="506"/>
      <c r="AY47" s="510">
        <v>60.856999999999999</v>
      </c>
      <c r="AZ47" s="510">
        <v>60.856999999999999</v>
      </c>
      <c r="BA47" s="510">
        <v>60.856999999999999</v>
      </c>
      <c r="BB47" s="510">
        <v>60.856999999999999</v>
      </c>
      <c r="BC47" s="510">
        <v>60.856999999999999</v>
      </c>
      <c r="BD47" s="510">
        <v>60.856999999999999</v>
      </c>
      <c r="BE47" s="510">
        <v>60.856999999999999</v>
      </c>
      <c r="BF47" s="510">
        <v>60.856999999999999</v>
      </c>
      <c r="BG47" s="510">
        <v>60.856999999999999</v>
      </c>
      <c r="BI47" s="477" t="s">
        <v>431</v>
      </c>
    </row>
    <row r="48" spans="2:61" x14ac:dyDescent="0.2">
      <c r="B48" s="475" t="s">
        <v>453</v>
      </c>
      <c r="C48" s="472" t="s">
        <v>454</v>
      </c>
      <c r="D48" s="520" t="s">
        <v>455</v>
      </c>
      <c r="E48" s="519" t="s">
        <v>456</v>
      </c>
      <c r="F48" s="509">
        <v>171.52099999999999</v>
      </c>
      <c r="G48" s="510">
        <v>167.71100000000001</v>
      </c>
      <c r="H48" s="510">
        <v>164.18799999999999</v>
      </c>
      <c r="I48" s="510">
        <v>160.93600000000001</v>
      </c>
      <c r="J48" s="486"/>
      <c r="K48" s="510">
        <v>153.316</v>
      </c>
      <c r="L48" s="510">
        <v>145.816</v>
      </c>
      <c r="M48" s="510">
        <v>138.316</v>
      </c>
      <c r="N48" s="510">
        <v>130.816</v>
      </c>
      <c r="O48" s="510">
        <v>123.316</v>
      </c>
      <c r="P48" s="510">
        <v>115.816</v>
      </c>
      <c r="Q48" s="510">
        <v>108.316</v>
      </c>
      <c r="R48" s="510">
        <v>100.816</v>
      </c>
      <c r="S48" s="510">
        <v>93.316000000000003</v>
      </c>
      <c r="U48" s="510">
        <v>153.316</v>
      </c>
      <c r="V48" s="510">
        <v>145.816</v>
      </c>
      <c r="W48" s="510">
        <v>138.316</v>
      </c>
      <c r="X48" s="510">
        <v>130.816</v>
      </c>
      <c r="Y48" s="510">
        <v>123.316</v>
      </c>
      <c r="Z48" s="510">
        <v>115.816</v>
      </c>
      <c r="AA48" s="510">
        <v>108.316</v>
      </c>
      <c r="AB48" s="510">
        <v>100.816</v>
      </c>
      <c r="AC48" s="510">
        <v>93.316000000000003</v>
      </c>
      <c r="AE48" s="510">
        <v>153.316</v>
      </c>
      <c r="AF48" s="510">
        <v>145.816</v>
      </c>
      <c r="AG48" s="510">
        <v>138.316</v>
      </c>
      <c r="AH48" s="510">
        <v>130.816</v>
      </c>
      <c r="AI48" s="510">
        <v>123.316</v>
      </c>
      <c r="AJ48" s="510">
        <v>115.816</v>
      </c>
      <c r="AK48" s="510">
        <v>108.316</v>
      </c>
      <c r="AL48" s="510">
        <v>100.816</v>
      </c>
      <c r="AM48" s="510">
        <v>93.316000000000003</v>
      </c>
      <c r="AO48" s="510">
        <v>153.316</v>
      </c>
      <c r="AP48" s="510">
        <v>145.816</v>
      </c>
      <c r="AQ48" s="510">
        <v>138.316</v>
      </c>
      <c r="AR48" s="510">
        <v>130.816</v>
      </c>
      <c r="AS48" s="510">
        <v>123.316</v>
      </c>
      <c r="AT48" s="510">
        <v>115.816</v>
      </c>
      <c r="AU48" s="510">
        <v>108.316</v>
      </c>
      <c r="AV48" s="510">
        <v>100.816</v>
      </c>
      <c r="AW48" s="510">
        <v>93.316000000000003</v>
      </c>
      <c r="AY48" s="510">
        <v>153.316</v>
      </c>
      <c r="AZ48" s="510">
        <v>145.816</v>
      </c>
      <c r="BA48" s="510">
        <v>138.316</v>
      </c>
      <c r="BB48" s="510">
        <v>130.816</v>
      </c>
      <c r="BC48" s="510">
        <v>123.316</v>
      </c>
      <c r="BD48" s="510">
        <v>115.816</v>
      </c>
      <c r="BE48" s="510">
        <v>108.316</v>
      </c>
      <c r="BF48" s="510">
        <v>100.816</v>
      </c>
      <c r="BG48" s="510">
        <v>93.316000000000003</v>
      </c>
      <c r="BI48" s="477" t="s">
        <v>431</v>
      </c>
    </row>
    <row r="49" spans="1:61" x14ac:dyDescent="0.2">
      <c r="B49" s="475" t="s">
        <v>457</v>
      </c>
      <c r="C49" s="472" t="s">
        <v>458</v>
      </c>
      <c r="D49" s="507" t="s">
        <v>459</v>
      </c>
      <c r="E49" s="519" t="s">
        <v>460</v>
      </c>
      <c r="F49" s="509">
        <v>7.3440000000000003</v>
      </c>
      <c r="G49" s="510">
        <v>7.3440000000000003</v>
      </c>
      <c r="H49" s="510">
        <v>13.07</v>
      </c>
      <c r="I49" s="510">
        <v>0</v>
      </c>
      <c r="J49" s="506"/>
      <c r="K49" s="510"/>
      <c r="L49" s="510"/>
      <c r="M49" s="510"/>
      <c r="N49" s="510"/>
      <c r="O49" s="510"/>
      <c r="P49" s="510"/>
      <c r="Q49" s="510"/>
      <c r="R49" s="510"/>
      <c r="S49" s="510"/>
      <c r="T49" s="506"/>
      <c r="U49" s="510">
        <v>0</v>
      </c>
      <c r="V49" s="510">
        <v>0</v>
      </c>
      <c r="W49" s="510">
        <v>0</v>
      </c>
      <c r="X49" s="510"/>
      <c r="Y49" s="510"/>
      <c r="Z49" s="510"/>
      <c r="AA49" s="510"/>
      <c r="AB49" s="510">
        <v>42.325000000000003</v>
      </c>
      <c r="AC49" s="510">
        <v>32.161000000000001</v>
      </c>
      <c r="AD49" s="506"/>
      <c r="AE49" s="510"/>
      <c r="AF49" s="510"/>
      <c r="AG49" s="510"/>
      <c r="AH49" s="510"/>
      <c r="AI49" s="510"/>
      <c r="AJ49" s="510"/>
      <c r="AK49" s="510"/>
      <c r="AL49" s="510"/>
      <c r="AM49" s="510"/>
      <c r="AN49" s="506"/>
      <c r="AO49" s="510"/>
      <c r="AP49" s="510"/>
      <c r="AQ49" s="510"/>
      <c r="AR49" s="510"/>
      <c r="AS49" s="510"/>
      <c r="AT49" s="510"/>
      <c r="AU49" s="510"/>
      <c r="AV49" s="510"/>
      <c r="AW49" s="510"/>
      <c r="AX49" s="506"/>
      <c r="AY49" s="510"/>
      <c r="AZ49" s="510"/>
      <c r="BA49" s="510"/>
      <c r="BB49" s="510"/>
      <c r="BC49" s="510"/>
      <c r="BD49" s="510"/>
      <c r="BE49" s="510"/>
      <c r="BF49" s="510"/>
      <c r="BG49" s="510"/>
      <c r="BI49" s="477" t="s">
        <v>431</v>
      </c>
    </row>
    <row r="50" spans="1:61" x14ac:dyDescent="0.2">
      <c r="B50" s="475"/>
      <c r="D50" s="520" t="s">
        <v>371</v>
      </c>
      <c r="E50" s="519" t="s">
        <v>461</v>
      </c>
      <c r="F50" s="506"/>
      <c r="G50" s="506"/>
      <c r="H50" s="506"/>
      <c r="I50" s="506"/>
      <c r="J50" s="486"/>
      <c r="K50" s="506"/>
      <c r="L50" s="506"/>
      <c r="M50" s="506"/>
      <c r="N50" s="506"/>
      <c r="O50" s="506"/>
      <c r="P50" s="506"/>
      <c r="Q50" s="506"/>
      <c r="R50" s="506"/>
      <c r="S50" s="506"/>
      <c r="U50" s="506"/>
      <c r="V50" s="506"/>
      <c r="W50" s="506"/>
      <c r="X50" s="506"/>
      <c r="Y50" s="506"/>
      <c r="Z50" s="506"/>
      <c r="AA50" s="506"/>
      <c r="AB50" s="506"/>
      <c r="AC50" s="506"/>
      <c r="AE50" s="506"/>
      <c r="AF50" s="506"/>
      <c r="AG50" s="506"/>
      <c r="AH50" s="506"/>
      <c r="AI50" s="506"/>
      <c r="AJ50" s="506"/>
      <c r="AK50" s="506"/>
      <c r="AL50" s="506"/>
      <c r="AM50" s="506"/>
      <c r="AO50" s="506"/>
      <c r="AP50" s="506"/>
      <c r="AQ50" s="506"/>
      <c r="AR50" s="506"/>
      <c r="AS50" s="506"/>
      <c r="AT50" s="506"/>
      <c r="AU50" s="506"/>
      <c r="AV50" s="506"/>
      <c r="AW50" s="506"/>
      <c r="AY50" s="506"/>
      <c r="AZ50" s="506"/>
      <c r="BA50" s="506"/>
      <c r="BB50" s="506"/>
      <c r="BC50" s="506"/>
      <c r="BD50" s="506"/>
      <c r="BE50" s="506"/>
      <c r="BF50" s="506"/>
      <c r="BG50" s="506"/>
    </row>
    <row r="51" spans="1:61" x14ac:dyDescent="0.2">
      <c r="B51" s="475" t="s">
        <v>462</v>
      </c>
      <c r="C51" s="472" t="s">
        <v>463</v>
      </c>
      <c r="D51" s="507" t="s">
        <v>464</v>
      </c>
      <c r="E51" s="519" t="s">
        <v>465</v>
      </c>
      <c r="F51" s="509">
        <v>0</v>
      </c>
      <c r="G51" s="510">
        <v>0</v>
      </c>
      <c r="H51" s="510">
        <v>0</v>
      </c>
      <c r="I51" s="510">
        <v>0</v>
      </c>
      <c r="J51" s="486"/>
      <c r="K51" s="510"/>
      <c r="L51" s="510"/>
      <c r="M51" s="510"/>
      <c r="N51" s="510"/>
      <c r="O51" s="510"/>
      <c r="P51" s="510"/>
      <c r="Q51" s="510"/>
      <c r="R51" s="510"/>
      <c r="S51" s="510"/>
      <c r="U51" s="510"/>
      <c r="V51" s="510"/>
      <c r="W51" s="510"/>
      <c r="X51" s="510"/>
      <c r="Y51" s="510"/>
      <c r="Z51" s="510"/>
      <c r="AA51" s="510"/>
      <c r="AB51" s="510"/>
      <c r="AC51" s="510"/>
      <c r="AE51" s="510"/>
      <c r="AF51" s="510"/>
      <c r="AG51" s="510"/>
      <c r="AH51" s="510"/>
      <c r="AI51" s="510"/>
      <c r="AJ51" s="510"/>
      <c r="AK51" s="510"/>
      <c r="AL51" s="510"/>
      <c r="AM51" s="510"/>
      <c r="AO51" s="510"/>
      <c r="AP51" s="510"/>
      <c r="AQ51" s="510"/>
      <c r="AR51" s="510"/>
      <c r="AS51" s="510"/>
      <c r="AT51" s="510"/>
      <c r="AU51" s="510"/>
      <c r="AV51" s="510"/>
      <c r="AW51" s="510"/>
      <c r="AY51" s="510"/>
      <c r="AZ51" s="510"/>
      <c r="BA51" s="510"/>
      <c r="BB51" s="510"/>
      <c r="BC51" s="510"/>
      <c r="BD51" s="510"/>
      <c r="BE51" s="510"/>
      <c r="BF51" s="510"/>
      <c r="BG51" s="510"/>
      <c r="BI51" s="477" t="s">
        <v>431</v>
      </c>
    </row>
    <row r="52" spans="1:61" x14ac:dyDescent="0.2">
      <c r="B52" s="475" t="s">
        <v>466</v>
      </c>
      <c r="C52" s="472" t="s">
        <v>467</v>
      </c>
      <c r="D52" s="499" t="s">
        <v>468</v>
      </c>
      <c r="E52" s="519" t="s">
        <v>469</v>
      </c>
      <c r="F52" s="509">
        <v>0</v>
      </c>
      <c r="G52" s="510">
        <v>0</v>
      </c>
      <c r="H52" s="510">
        <v>0</v>
      </c>
      <c r="I52" s="510">
        <v>0</v>
      </c>
      <c r="J52" s="506"/>
      <c r="K52" s="510"/>
      <c r="L52" s="510"/>
      <c r="M52" s="510"/>
      <c r="N52" s="510"/>
      <c r="O52" s="510"/>
      <c r="P52" s="510"/>
      <c r="Q52" s="510"/>
      <c r="R52" s="510"/>
      <c r="S52" s="510"/>
      <c r="T52" s="506"/>
      <c r="U52" s="510"/>
      <c r="V52" s="510"/>
      <c r="W52" s="510"/>
      <c r="X52" s="510"/>
      <c r="Y52" s="510"/>
      <c r="Z52" s="510"/>
      <c r="AA52" s="510"/>
      <c r="AB52" s="510"/>
      <c r="AC52" s="510"/>
      <c r="AD52" s="506"/>
      <c r="AE52" s="510"/>
      <c r="AF52" s="510"/>
      <c r="AG52" s="510"/>
      <c r="AH52" s="510"/>
      <c r="AI52" s="510"/>
      <c r="AJ52" s="510"/>
      <c r="AK52" s="510"/>
      <c r="AL52" s="510"/>
      <c r="AM52" s="510"/>
      <c r="AN52" s="506"/>
      <c r="AO52" s="510"/>
      <c r="AP52" s="510"/>
      <c r="AQ52" s="510"/>
      <c r="AR52" s="510"/>
      <c r="AS52" s="510"/>
      <c r="AT52" s="510"/>
      <c r="AU52" s="510"/>
      <c r="AV52" s="510"/>
      <c r="AW52" s="510"/>
      <c r="AX52" s="506"/>
      <c r="AY52" s="510"/>
      <c r="AZ52" s="510"/>
      <c r="BA52" s="510"/>
      <c r="BB52" s="510"/>
      <c r="BC52" s="510"/>
      <c r="BD52" s="510"/>
      <c r="BE52" s="510"/>
      <c r="BF52" s="510"/>
      <c r="BG52" s="510"/>
      <c r="BI52" s="477" t="s">
        <v>431</v>
      </c>
    </row>
    <row r="53" spans="1:61" x14ac:dyDescent="0.2">
      <c r="B53" s="475" t="s">
        <v>470</v>
      </c>
      <c r="C53" s="472" t="s">
        <v>471</v>
      </c>
      <c r="D53" s="499" t="s">
        <v>472</v>
      </c>
      <c r="E53" s="519" t="s">
        <v>473</v>
      </c>
      <c r="F53" s="509">
        <v>-9.2899999999999991</v>
      </c>
      <c r="G53" s="510">
        <v>-5.726</v>
      </c>
      <c r="H53" s="510">
        <v>-24.239000000000001</v>
      </c>
      <c r="I53" s="510">
        <v>2.125</v>
      </c>
      <c r="K53" s="510">
        <v>2.1219999999999999</v>
      </c>
      <c r="L53" s="510">
        <v>2.1219999999999999</v>
      </c>
      <c r="M53" s="510">
        <v>2.1219999999999999</v>
      </c>
      <c r="N53" s="510">
        <v>2.1219999999999999</v>
      </c>
      <c r="O53" s="510">
        <v>2.1219999999999999</v>
      </c>
      <c r="P53" s="510">
        <v>2.1219999999999999</v>
      </c>
      <c r="Q53" s="510">
        <v>2.1219999999999999</v>
      </c>
      <c r="R53" s="510">
        <v>2.1219999999999999</v>
      </c>
      <c r="S53" s="510">
        <v>2.1219999999999999</v>
      </c>
      <c r="U53" s="510">
        <v>2.1219999999999999</v>
      </c>
      <c r="V53" s="510">
        <v>2.1219999999999999</v>
      </c>
      <c r="W53" s="510">
        <v>2.1219999999999999</v>
      </c>
      <c r="X53" s="510">
        <v>2.1219999999999999</v>
      </c>
      <c r="Y53" s="510">
        <v>2.1219999999999999</v>
      </c>
      <c r="Z53" s="510">
        <v>2.1219999999999999</v>
      </c>
      <c r="AA53" s="510">
        <v>2.1219999999999999</v>
      </c>
      <c r="AB53" s="510">
        <v>2.1219999999999999</v>
      </c>
      <c r="AC53" s="510">
        <v>2.1219999999999999</v>
      </c>
      <c r="AE53" s="510">
        <v>2.1219999999999999</v>
      </c>
      <c r="AF53" s="510">
        <v>2.1219999999999999</v>
      </c>
      <c r="AG53" s="510">
        <v>2.1219999999999999</v>
      </c>
      <c r="AH53" s="510">
        <v>2.1219999999999999</v>
      </c>
      <c r="AI53" s="510">
        <v>2.1219999999999999</v>
      </c>
      <c r="AJ53" s="510">
        <v>2.1219999999999999</v>
      </c>
      <c r="AK53" s="510">
        <v>2.1219999999999999</v>
      </c>
      <c r="AL53" s="510">
        <v>2.1219999999999999</v>
      </c>
      <c r="AM53" s="510">
        <v>2.1219999999999999</v>
      </c>
      <c r="AO53" s="510">
        <v>2.1219999999999999</v>
      </c>
      <c r="AP53" s="510">
        <v>2.1219999999999999</v>
      </c>
      <c r="AQ53" s="510">
        <v>2.1219999999999999</v>
      </c>
      <c r="AR53" s="510">
        <v>2.1219999999999999</v>
      </c>
      <c r="AS53" s="510">
        <v>2.1219999999999999</v>
      </c>
      <c r="AT53" s="510">
        <v>2.1219999999999999</v>
      </c>
      <c r="AU53" s="510">
        <v>2.1219999999999999</v>
      </c>
      <c r="AV53" s="510">
        <v>2.1219999999999999</v>
      </c>
      <c r="AW53" s="510">
        <v>2.1219999999999999</v>
      </c>
      <c r="AY53" s="510">
        <v>2.1219999999999999</v>
      </c>
      <c r="AZ53" s="510">
        <v>2.1219999999999999</v>
      </c>
      <c r="BA53" s="510">
        <v>2.1219999999999999</v>
      </c>
      <c r="BB53" s="510">
        <v>2.1219999999999999</v>
      </c>
      <c r="BC53" s="510">
        <v>2.1219999999999999</v>
      </c>
      <c r="BD53" s="510">
        <v>2.1219999999999999</v>
      </c>
      <c r="BE53" s="510">
        <v>2.1219999999999999</v>
      </c>
      <c r="BF53" s="510">
        <v>2.1219999999999999</v>
      </c>
      <c r="BG53" s="510">
        <v>2.1219999999999999</v>
      </c>
      <c r="BI53" s="477" t="s">
        <v>431</v>
      </c>
    </row>
    <row r="54" spans="1:61" x14ac:dyDescent="0.2">
      <c r="B54" s="475" t="s">
        <v>474</v>
      </c>
      <c r="C54" s="472" t="s">
        <v>475</v>
      </c>
      <c r="D54" s="507" t="s">
        <v>476</v>
      </c>
      <c r="E54" s="519" t="s">
        <v>477</v>
      </c>
      <c r="F54" s="509">
        <v>0</v>
      </c>
      <c r="G54" s="510">
        <v>0</v>
      </c>
      <c r="H54" s="510">
        <v>0</v>
      </c>
      <c r="I54" s="510">
        <v>0</v>
      </c>
      <c r="K54" s="510"/>
      <c r="L54" s="510"/>
      <c r="M54" s="510"/>
      <c r="N54" s="510"/>
      <c r="O54" s="510"/>
      <c r="P54" s="510"/>
      <c r="Q54" s="510"/>
      <c r="R54" s="510"/>
      <c r="S54" s="510"/>
      <c r="U54" s="510"/>
      <c r="V54" s="510"/>
      <c r="W54" s="510"/>
      <c r="X54" s="510"/>
      <c r="Y54" s="510"/>
      <c r="Z54" s="510"/>
      <c r="AA54" s="510"/>
      <c r="AB54" s="510"/>
      <c r="AC54" s="510"/>
      <c r="AE54" s="510"/>
      <c r="AF54" s="510"/>
      <c r="AG54" s="510"/>
      <c r="AH54" s="510"/>
      <c r="AI54" s="510"/>
      <c r="AJ54" s="510"/>
      <c r="AK54" s="510"/>
      <c r="AL54" s="510"/>
      <c r="AM54" s="510"/>
      <c r="AO54" s="510"/>
      <c r="AP54" s="510"/>
      <c r="AQ54" s="510"/>
      <c r="AR54" s="510"/>
      <c r="AS54" s="510"/>
      <c r="AT54" s="510"/>
      <c r="AU54" s="510"/>
      <c r="AV54" s="510"/>
      <c r="AW54" s="510"/>
      <c r="AY54" s="510"/>
      <c r="AZ54" s="510"/>
      <c r="BA54" s="510"/>
      <c r="BB54" s="510"/>
      <c r="BC54" s="510"/>
      <c r="BD54" s="510"/>
      <c r="BE54" s="510"/>
      <c r="BF54" s="510"/>
      <c r="BG54" s="510"/>
      <c r="BI54" s="477" t="s">
        <v>431</v>
      </c>
    </row>
    <row r="55" spans="1:61" x14ac:dyDescent="0.2">
      <c r="B55" s="475" t="s">
        <v>478</v>
      </c>
      <c r="C55" s="472" t="s">
        <v>479</v>
      </c>
      <c r="D55" s="507" t="s">
        <v>480</v>
      </c>
      <c r="E55" s="519" t="s">
        <v>481</v>
      </c>
      <c r="F55" s="509">
        <v>0</v>
      </c>
      <c r="G55" s="510">
        <v>0</v>
      </c>
      <c r="H55" s="510">
        <v>0</v>
      </c>
      <c r="I55" s="510">
        <v>0</v>
      </c>
      <c r="K55" s="510"/>
      <c r="L55" s="510"/>
      <c r="M55" s="510"/>
      <c r="N55" s="510"/>
      <c r="O55" s="510"/>
      <c r="P55" s="510"/>
      <c r="Q55" s="510"/>
      <c r="R55" s="510"/>
      <c r="S55" s="510"/>
      <c r="U55" s="510"/>
      <c r="V55" s="510"/>
      <c r="W55" s="510"/>
      <c r="X55" s="510"/>
      <c r="Y55" s="510"/>
      <c r="Z55" s="510"/>
      <c r="AA55" s="510"/>
      <c r="AB55" s="510"/>
      <c r="AC55" s="510"/>
      <c r="AE55" s="510"/>
      <c r="AF55" s="510"/>
      <c r="AG55" s="510"/>
      <c r="AH55" s="510"/>
      <c r="AI55" s="510"/>
      <c r="AJ55" s="510"/>
      <c r="AK55" s="510"/>
      <c r="AL55" s="510"/>
      <c r="AM55" s="510"/>
      <c r="AO55" s="510"/>
      <c r="AP55" s="510"/>
      <c r="AQ55" s="510"/>
      <c r="AR55" s="510"/>
      <c r="AS55" s="510"/>
      <c r="AT55" s="510"/>
      <c r="AU55" s="510"/>
      <c r="AV55" s="510"/>
      <c r="AW55" s="510"/>
      <c r="AY55" s="510"/>
      <c r="AZ55" s="510"/>
      <c r="BA55" s="510"/>
      <c r="BB55" s="510"/>
      <c r="BC55" s="510"/>
      <c r="BD55" s="510"/>
      <c r="BE55" s="510"/>
      <c r="BF55" s="510"/>
      <c r="BG55" s="510"/>
      <c r="BI55" s="477" t="s">
        <v>431</v>
      </c>
    </row>
    <row r="56" spans="1:61" x14ac:dyDescent="0.2">
      <c r="A56" s="478"/>
      <c r="B56" s="475"/>
      <c r="D56" s="507" t="s">
        <v>371</v>
      </c>
      <c r="E56" s="519" t="s">
        <v>482</v>
      </c>
      <c r="F56" s="506"/>
      <c r="G56" s="506"/>
      <c r="H56" s="506"/>
      <c r="I56" s="506"/>
      <c r="K56" s="506"/>
      <c r="L56" s="506"/>
      <c r="M56" s="506"/>
      <c r="N56" s="506"/>
      <c r="O56" s="506"/>
      <c r="P56" s="506"/>
      <c r="Q56" s="506"/>
      <c r="R56" s="506"/>
      <c r="S56" s="506"/>
      <c r="U56" s="506"/>
      <c r="V56" s="506"/>
      <c r="W56" s="506"/>
      <c r="X56" s="506"/>
      <c r="Y56" s="506"/>
      <c r="Z56" s="506"/>
      <c r="AA56" s="506"/>
      <c r="AB56" s="506"/>
      <c r="AC56" s="506"/>
      <c r="AE56" s="506"/>
      <c r="AF56" s="506"/>
      <c r="AG56" s="506"/>
      <c r="AH56" s="506"/>
      <c r="AI56" s="506"/>
      <c r="AJ56" s="506"/>
      <c r="AK56" s="506"/>
      <c r="AL56" s="506"/>
      <c r="AM56" s="506"/>
      <c r="AO56" s="506"/>
      <c r="AP56" s="506"/>
      <c r="AQ56" s="506"/>
      <c r="AR56" s="506"/>
      <c r="AS56" s="506"/>
      <c r="AT56" s="506"/>
      <c r="AU56" s="506"/>
      <c r="AV56" s="506"/>
      <c r="AW56" s="506"/>
      <c r="AY56" s="506"/>
      <c r="AZ56" s="506"/>
      <c r="BA56" s="506"/>
      <c r="BB56" s="506"/>
      <c r="BC56" s="506"/>
      <c r="BD56" s="506"/>
      <c r="BE56" s="506"/>
      <c r="BF56" s="506"/>
      <c r="BG56" s="506"/>
    </row>
    <row r="57" spans="1:61" x14ac:dyDescent="0.2">
      <c r="A57" s="478"/>
      <c r="B57" s="475" t="s">
        <v>483</v>
      </c>
      <c r="C57" s="472" t="s">
        <v>484</v>
      </c>
      <c r="D57" s="521" t="s">
        <v>485</v>
      </c>
      <c r="E57" s="519" t="s">
        <v>486</v>
      </c>
      <c r="F57" s="509">
        <v>0</v>
      </c>
      <c r="G57" s="510">
        <v>0</v>
      </c>
      <c r="H57" s="510">
        <v>0</v>
      </c>
      <c r="I57" s="510">
        <v>0</v>
      </c>
      <c r="K57" s="510"/>
      <c r="L57" s="510"/>
      <c r="M57" s="510"/>
      <c r="N57" s="510"/>
      <c r="O57" s="510"/>
      <c r="P57" s="510"/>
      <c r="Q57" s="510"/>
      <c r="R57" s="510"/>
      <c r="S57" s="510"/>
      <c r="U57" s="510"/>
      <c r="V57" s="510"/>
      <c r="W57" s="510"/>
      <c r="X57" s="510"/>
      <c r="Y57" s="510"/>
      <c r="Z57" s="510"/>
      <c r="AA57" s="510"/>
      <c r="AB57" s="510"/>
      <c r="AC57" s="510"/>
      <c r="AE57" s="510"/>
      <c r="AF57" s="510"/>
      <c r="AG57" s="510"/>
      <c r="AH57" s="510"/>
      <c r="AI57" s="510"/>
      <c r="AJ57" s="510"/>
      <c r="AK57" s="510"/>
      <c r="AL57" s="510"/>
      <c r="AM57" s="510"/>
      <c r="AO57" s="510"/>
      <c r="AP57" s="510"/>
      <c r="AQ57" s="510"/>
      <c r="AR57" s="510"/>
      <c r="AS57" s="510"/>
      <c r="AT57" s="510"/>
      <c r="AU57" s="510"/>
      <c r="AV57" s="510"/>
      <c r="AW57" s="510"/>
      <c r="AY57" s="510"/>
      <c r="AZ57" s="510"/>
      <c r="BA57" s="510"/>
      <c r="BB57" s="510"/>
      <c r="BC57" s="510"/>
      <c r="BD57" s="510"/>
      <c r="BE57" s="510"/>
      <c r="BF57" s="510"/>
      <c r="BG57" s="510"/>
      <c r="BI57" s="477" t="s">
        <v>431</v>
      </c>
    </row>
    <row r="58" spans="1:61" x14ac:dyDescent="0.2">
      <c r="B58" s="475" t="s">
        <v>487</v>
      </c>
      <c r="C58" s="472" t="s">
        <v>488</v>
      </c>
      <c r="D58" s="522" t="s">
        <v>489</v>
      </c>
      <c r="E58" s="519" t="s">
        <v>490</v>
      </c>
      <c r="F58" s="509">
        <v>0</v>
      </c>
      <c r="G58" s="510">
        <v>0</v>
      </c>
      <c r="H58" s="510">
        <v>0</v>
      </c>
      <c r="I58" s="510">
        <v>0</v>
      </c>
      <c r="K58" s="510"/>
      <c r="L58" s="510"/>
      <c r="M58" s="510"/>
      <c r="N58" s="510"/>
      <c r="O58" s="510"/>
      <c r="P58" s="510"/>
      <c r="Q58" s="510"/>
      <c r="R58" s="510"/>
      <c r="S58" s="510"/>
      <c r="U58" s="510"/>
      <c r="V58" s="510"/>
      <c r="W58" s="510"/>
      <c r="X58" s="510"/>
      <c r="Y58" s="510"/>
      <c r="Z58" s="510"/>
      <c r="AA58" s="510"/>
      <c r="AB58" s="510"/>
      <c r="AC58" s="510"/>
      <c r="AE58" s="510"/>
      <c r="AF58" s="510"/>
      <c r="AG58" s="510"/>
      <c r="AH58" s="510"/>
      <c r="AI58" s="510"/>
      <c r="AJ58" s="510"/>
      <c r="AK58" s="510"/>
      <c r="AL58" s="510"/>
      <c r="AM58" s="510"/>
      <c r="AO58" s="510"/>
      <c r="AP58" s="510"/>
      <c r="AQ58" s="510"/>
      <c r="AR58" s="510"/>
      <c r="AS58" s="510"/>
      <c r="AT58" s="510"/>
      <c r="AU58" s="510"/>
      <c r="AV58" s="510"/>
      <c r="AW58" s="510"/>
      <c r="AY58" s="510"/>
      <c r="AZ58" s="510"/>
      <c r="BA58" s="510"/>
      <c r="BB58" s="510"/>
      <c r="BC58" s="510"/>
      <c r="BD58" s="510"/>
      <c r="BE58" s="510"/>
      <c r="BF58" s="510"/>
      <c r="BG58" s="510"/>
      <c r="BI58" s="477" t="s">
        <v>431</v>
      </c>
    </row>
    <row r="59" spans="1:61" x14ac:dyDescent="0.2">
      <c r="B59" s="475" t="s">
        <v>491</v>
      </c>
      <c r="C59" s="472" t="s">
        <v>492</v>
      </c>
      <c r="D59" s="522" t="s">
        <v>493</v>
      </c>
      <c r="E59" s="519" t="s">
        <v>494</v>
      </c>
      <c r="F59" s="509">
        <v>0</v>
      </c>
      <c r="G59" s="510">
        <v>0</v>
      </c>
      <c r="H59" s="510">
        <v>0</v>
      </c>
      <c r="I59" s="510">
        <v>0</v>
      </c>
      <c r="K59" s="510"/>
      <c r="L59" s="510"/>
      <c r="M59" s="510"/>
      <c r="N59" s="510"/>
      <c r="O59" s="510"/>
      <c r="P59" s="510"/>
      <c r="Q59" s="510"/>
      <c r="R59" s="510"/>
      <c r="S59" s="510"/>
      <c r="U59" s="510"/>
      <c r="V59" s="510"/>
      <c r="W59" s="510"/>
      <c r="X59" s="510"/>
      <c r="Y59" s="510"/>
      <c r="Z59" s="510"/>
      <c r="AA59" s="510"/>
      <c r="AB59" s="510"/>
      <c r="AC59" s="510"/>
      <c r="AE59" s="510"/>
      <c r="AF59" s="510"/>
      <c r="AG59" s="510"/>
      <c r="AH59" s="510"/>
      <c r="AI59" s="510"/>
      <c r="AJ59" s="510"/>
      <c r="AK59" s="510"/>
      <c r="AL59" s="510"/>
      <c r="AM59" s="510"/>
      <c r="AO59" s="510"/>
      <c r="AP59" s="510"/>
      <c r="AQ59" s="510"/>
      <c r="AR59" s="510"/>
      <c r="AS59" s="510"/>
      <c r="AT59" s="510"/>
      <c r="AU59" s="510"/>
      <c r="AV59" s="510"/>
      <c r="AW59" s="510"/>
      <c r="AY59" s="510"/>
      <c r="AZ59" s="510"/>
      <c r="BA59" s="510"/>
      <c r="BB59" s="510"/>
      <c r="BC59" s="510"/>
      <c r="BD59" s="510"/>
      <c r="BE59" s="510"/>
      <c r="BF59" s="510"/>
      <c r="BG59" s="510"/>
      <c r="BI59" s="477" t="s">
        <v>431</v>
      </c>
    </row>
    <row r="60" spans="1:61" x14ac:dyDescent="0.2">
      <c r="A60" s="478"/>
      <c r="B60" s="475" t="s">
        <v>495</v>
      </c>
      <c r="C60" s="472" t="s">
        <v>496</v>
      </c>
      <c r="D60" s="522" t="s">
        <v>497</v>
      </c>
      <c r="E60" s="519" t="s">
        <v>498</v>
      </c>
      <c r="F60" s="509">
        <v>0</v>
      </c>
      <c r="G60" s="510">
        <v>0</v>
      </c>
      <c r="H60" s="510">
        <v>0</v>
      </c>
      <c r="I60" s="510">
        <v>0</v>
      </c>
      <c r="K60" s="510"/>
      <c r="L60" s="510"/>
      <c r="M60" s="510"/>
      <c r="N60" s="510"/>
      <c r="O60" s="510"/>
      <c r="P60" s="510"/>
      <c r="Q60" s="510"/>
      <c r="R60" s="510"/>
      <c r="S60" s="510"/>
      <c r="U60" s="510"/>
      <c r="V60" s="510"/>
      <c r="W60" s="510"/>
      <c r="X60" s="510"/>
      <c r="Y60" s="510"/>
      <c r="Z60" s="510"/>
      <c r="AA60" s="510"/>
      <c r="AB60" s="510"/>
      <c r="AC60" s="510"/>
      <c r="AE60" s="510"/>
      <c r="AF60" s="510"/>
      <c r="AG60" s="510"/>
      <c r="AH60" s="510"/>
      <c r="AI60" s="510"/>
      <c r="AJ60" s="510"/>
      <c r="AK60" s="510"/>
      <c r="AL60" s="510"/>
      <c r="AM60" s="510"/>
      <c r="AO60" s="510"/>
      <c r="AP60" s="510"/>
      <c r="AQ60" s="510"/>
      <c r="AR60" s="510"/>
      <c r="AS60" s="510"/>
      <c r="AT60" s="510"/>
      <c r="AU60" s="510"/>
      <c r="AV60" s="510"/>
      <c r="AW60" s="510"/>
      <c r="AY60" s="510"/>
      <c r="AZ60" s="510"/>
      <c r="BA60" s="510"/>
      <c r="BB60" s="510"/>
      <c r="BC60" s="510"/>
      <c r="BD60" s="510"/>
      <c r="BE60" s="510"/>
      <c r="BF60" s="510"/>
      <c r="BG60" s="510"/>
      <c r="BI60" s="477" t="s">
        <v>431</v>
      </c>
    </row>
    <row r="61" spans="1:61" x14ac:dyDescent="0.2">
      <c r="A61" s="478"/>
      <c r="B61" s="475" t="s">
        <v>499</v>
      </c>
      <c r="C61" s="472" t="s">
        <v>500</v>
      </c>
      <c r="D61" s="522" t="s">
        <v>501</v>
      </c>
      <c r="E61" s="519" t="s">
        <v>502</v>
      </c>
      <c r="F61" s="509">
        <v>3618.67</v>
      </c>
      <c r="G61" s="510">
        <v>4014.5340000000001</v>
      </c>
      <c r="H61" s="510">
        <v>4146.67</v>
      </c>
      <c r="I61" s="510">
        <v>4218.1909999999998</v>
      </c>
      <c r="K61" s="510">
        <v>4642.473</v>
      </c>
      <c r="L61" s="510">
        <v>4885.107</v>
      </c>
      <c r="M61" s="510">
        <v>5132.991</v>
      </c>
      <c r="N61" s="510">
        <v>5322.165</v>
      </c>
      <c r="O61" s="510">
        <v>5623.2870000000003</v>
      </c>
      <c r="P61" s="510">
        <v>5962.9080000000004</v>
      </c>
      <c r="Q61" s="510">
        <v>6205.7520000000004</v>
      </c>
      <c r="R61" s="510">
        <v>6470.8249999999998</v>
      </c>
      <c r="S61" s="510">
        <v>6861.3010000000004</v>
      </c>
      <c r="U61" s="510">
        <v>4029.1149999999998</v>
      </c>
      <c r="V61" s="510">
        <v>3561.127</v>
      </c>
      <c r="W61" s="510">
        <v>3219.0309999999999</v>
      </c>
      <c r="X61" s="510">
        <v>2962.9059999999999</v>
      </c>
      <c r="Y61" s="510">
        <v>2955.16</v>
      </c>
      <c r="Z61" s="510">
        <v>3003.0309999999999</v>
      </c>
      <c r="AA61" s="510">
        <v>2793.7539999999999</v>
      </c>
      <c r="AB61" s="510">
        <v>2557.3910000000001</v>
      </c>
      <c r="AC61" s="510">
        <v>2633.7359999999999</v>
      </c>
      <c r="AE61" s="510">
        <v>4642.473</v>
      </c>
      <c r="AF61" s="510">
        <v>4885.107</v>
      </c>
      <c r="AG61" s="510">
        <v>5132.991</v>
      </c>
      <c r="AH61" s="510">
        <v>5322.165</v>
      </c>
      <c r="AI61" s="510">
        <v>5623.2870000000003</v>
      </c>
      <c r="AJ61" s="510">
        <v>5962.9080000000004</v>
      </c>
      <c r="AK61" s="510">
        <v>6205.7520000000004</v>
      </c>
      <c r="AL61" s="510">
        <v>6470.8249999999998</v>
      </c>
      <c r="AM61" s="510">
        <v>6861.3010000000004</v>
      </c>
      <c r="AO61" s="510">
        <v>4196.2219999999998</v>
      </c>
      <c r="AP61" s="510">
        <v>4278.0649999999996</v>
      </c>
      <c r="AQ61" s="510">
        <v>4352.8310000000001</v>
      </c>
      <c r="AR61" s="510">
        <v>4430.223</v>
      </c>
      <c r="AS61" s="510">
        <v>4602.4350000000004</v>
      </c>
      <c r="AT61" s="510">
        <v>4778.3829999999998</v>
      </c>
      <c r="AU61" s="510">
        <v>4855.55</v>
      </c>
      <c r="AV61" s="510">
        <v>4902.0349999999999</v>
      </c>
      <c r="AW61" s="510">
        <v>5188.9679999999998</v>
      </c>
      <c r="AY61" s="510">
        <v>4041.6869999999999</v>
      </c>
      <c r="AZ61" s="510">
        <v>3473.3069999999998</v>
      </c>
      <c r="BA61" s="510">
        <v>3313.28</v>
      </c>
      <c r="BB61" s="510">
        <v>3132.9029999999998</v>
      </c>
      <c r="BC61" s="510">
        <v>3260.2159999999999</v>
      </c>
      <c r="BD61" s="510">
        <v>3298.2660000000001</v>
      </c>
      <c r="BE61" s="510">
        <v>3165.2190000000001</v>
      </c>
      <c r="BF61" s="510">
        <v>2993.6529999999998</v>
      </c>
      <c r="BG61" s="510">
        <v>3095.5680000000002</v>
      </c>
      <c r="BI61" s="477" t="s">
        <v>431</v>
      </c>
    </row>
    <row r="62" spans="1:61" x14ac:dyDescent="0.2">
      <c r="A62" s="478"/>
      <c r="B62" s="475" t="s">
        <v>503</v>
      </c>
      <c r="C62" s="472" t="s">
        <v>504</v>
      </c>
      <c r="D62" s="522" t="s">
        <v>505</v>
      </c>
      <c r="E62" s="519" t="s">
        <v>506</v>
      </c>
      <c r="F62" s="509">
        <v>0</v>
      </c>
      <c r="G62" s="510">
        <v>0</v>
      </c>
      <c r="H62" s="510">
        <v>0</v>
      </c>
      <c r="I62" s="510">
        <v>0</v>
      </c>
      <c r="K62" s="510">
        <v>0</v>
      </c>
      <c r="L62" s="510">
        <v>0</v>
      </c>
      <c r="M62" s="510">
        <v>0</v>
      </c>
      <c r="N62" s="510">
        <v>0</v>
      </c>
      <c r="O62" s="510">
        <v>0</v>
      </c>
      <c r="P62" s="510">
        <v>0</v>
      </c>
      <c r="Q62" s="510">
        <v>0</v>
      </c>
      <c r="R62" s="510">
        <v>0</v>
      </c>
      <c r="S62" s="510">
        <v>0</v>
      </c>
      <c r="U62" s="510">
        <v>0</v>
      </c>
      <c r="V62" s="510">
        <v>0</v>
      </c>
      <c r="W62" s="510">
        <v>0</v>
      </c>
      <c r="X62" s="510">
        <v>0</v>
      </c>
      <c r="Y62" s="510">
        <v>0</v>
      </c>
      <c r="Z62" s="510">
        <v>0</v>
      </c>
      <c r="AA62" s="510">
        <v>0</v>
      </c>
      <c r="AB62" s="510">
        <v>0</v>
      </c>
      <c r="AC62" s="510">
        <v>0</v>
      </c>
      <c r="AE62" s="510">
        <v>0</v>
      </c>
      <c r="AF62" s="510">
        <v>0</v>
      </c>
      <c r="AG62" s="510">
        <v>0</v>
      </c>
      <c r="AH62" s="510">
        <v>0</v>
      </c>
      <c r="AI62" s="510">
        <v>0</v>
      </c>
      <c r="AJ62" s="510">
        <v>0</v>
      </c>
      <c r="AK62" s="510">
        <v>0</v>
      </c>
      <c r="AL62" s="510">
        <v>0</v>
      </c>
      <c r="AM62" s="510">
        <v>0</v>
      </c>
      <c r="AO62" s="510">
        <v>0</v>
      </c>
      <c r="AP62" s="510">
        <v>0</v>
      </c>
      <c r="AQ62" s="510">
        <v>0</v>
      </c>
      <c r="AR62" s="510">
        <v>0</v>
      </c>
      <c r="AS62" s="510">
        <v>0</v>
      </c>
      <c r="AT62" s="510">
        <v>0</v>
      </c>
      <c r="AU62" s="510">
        <v>0</v>
      </c>
      <c r="AV62" s="510">
        <v>0</v>
      </c>
      <c r="AW62" s="510">
        <v>0</v>
      </c>
      <c r="AY62" s="510">
        <v>0</v>
      </c>
      <c r="AZ62" s="510">
        <v>0</v>
      </c>
      <c r="BA62" s="510">
        <v>0</v>
      </c>
      <c r="BB62" s="510">
        <v>0</v>
      </c>
      <c r="BC62" s="510">
        <v>0</v>
      </c>
      <c r="BD62" s="510">
        <v>0</v>
      </c>
      <c r="BE62" s="510">
        <v>0</v>
      </c>
      <c r="BF62" s="510">
        <v>0</v>
      </c>
      <c r="BG62" s="510">
        <v>0</v>
      </c>
      <c r="BI62" s="477" t="s">
        <v>431</v>
      </c>
    </row>
    <row r="63" spans="1:61" x14ac:dyDescent="0.2">
      <c r="A63" s="478"/>
      <c r="B63" s="475" t="s">
        <v>507</v>
      </c>
      <c r="C63" s="472" t="s">
        <v>508</v>
      </c>
      <c r="D63" s="522" t="s">
        <v>509</v>
      </c>
      <c r="E63" s="519" t="s">
        <v>510</v>
      </c>
      <c r="F63" s="509">
        <v>0</v>
      </c>
      <c r="G63" s="510">
        <v>0</v>
      </c>
      <c r="H63" s="510">
        <v>0</v>
      </c>
      <c r="I63" s="510">
        <v>0</v>
      </c>
      <c r="K63" s="510">
        <v>0</v>
      </c>
      <c r="L63" s="510">
        <v>0</v>
      </c>
      <c r="M63" s="510">
        <v>0</v>
      </c>
      <c r="N63" s="510">
        <v>0</v>
      </c>
      <c r="O63" s="510">
        <v>0</v>
      </c>
      <c r="P63" s="510">
        <v>0</v>
      </c>
      <c r="Q63" s="510">
        <v>0</v>
      </c>
      <c r="R63" s="510">
        <v>0</v>
      </c>
      <c r="S63" s="510">
        <v>0</v>
      </c>
      <c r="U63" s="510">
        <v>0</v>
      </c>
      <c r="V63" s="510">
        <v>0</v>
      </c>
      <c r="W63" s="510">
        <v>0</v>
      </c>
      <c r="X63" s="510">
        <v>0</v>
      </c>
      <c r="Y63" s="510">
        <v>0</v>
      </c>
      <c r="Z63" s="510">
        <v>0</v>
      </c>
      <c r="AA63" s="510">
        <v>0</v>
      </c>
      <c r="AB63" s="510">
        <v>0</v>
      </c>
      <c r="AC63" s="510">
        <v>0</v>
      </c>
      <c r="AE63" s="510">
        <v>0</v>
      </c>
      <c r="AF63" s="510">
        <v>0</v>
      </c>
      <c r="AG63" s="510">
        <v>0</v>
      </c>
      <c r="AH63" s="510">
        <v>0</v>
      </c>
      <c r="AI63" s="510">
        <v>0</v>
      </c>
      <c r="AJ63" s="510">
        <v>0</v>
      </c>
      <c r="AK63" s="510">
        <v>0</v>
      </c>
      <c r="AL63" s="510">
        <v>0</v>
      </c>
      <c r="AM63" s="510">
        <v>0</v>
      </c>
      <c r="AO63" s="510">
        <v>0</v>
      </c>
      <c r="AP63" s="510">
        <v>0</v>
      </c>
      <c r="AQ63" s="510">
        <v>0</v>
      </c>
      <c r="AR63" s="510">
        <v>0</v>
      </c>
      <c r="AS63" s="510">
        <v>0</v>
      </c>
      <c r="AT63" s="510">
        <v>0</v>
      </c>
      <c r="AU63" s="510">
        <v>0</v>
      </c>
      <c r="AV63" s="510">
        <v>0</v>
      </c>
      <c r="AW63" s="510">
        <v>0</v>
      </c>
      <c r="AY63" s="510">
        <v>0</v>
      </c>
      <c r="AZ63" s="510">
        <v>0</v>
      </c>
      <c r="BA63" s="510">
        <v>0</v>
      </c>
      <c r="BB63" s="510">
        <v>0</v>
      </c>
      <c r="BC63" s="510">
        <v>0</v>
      </c>
      <c r="BD63" s="510">
        <v>0</v>
      </c>
      <c r="BE63" s="510">
        <v>0</v>
      </c>
      <c r="BF63" s="510">
        <v>0</v>
      </c>
      <c r="BG63" s="510">
        <v>0</v>
      </c>
      <c r="BI63" s="477" t="s">
        <v>431</v>
      </c>
    </row>
    <row r="64" spans="1:61" x14ac:dyDescent="0.2">
      <c r="A64" s="478"/>
      <c r="B64" s="475" t="s">
        <v>511</v>
      </c>
      <c r="C64" s="472" t="s">
        <v>512</v>
      </c>
      <c r="D64" s="522" t="s">
        <v>513</v>
      </c>
      <c r="E64" s="519" t="s">
        <v>514</v>
      </c>
      <c r="F64" s="509">
        <v>0</v>
      </c>
      <c r="G64" s="510">
        <v>0</v>
      </c>
      <c r="H64" s="510">
        <v>0</v>
      </c>
      <c r="I64" s="510">
        <v>0</v>
      </c>
      <c r="K64" s="510">
        <v>0</v>
      </c>
      <c r="L64" s="510">
        <v>0</v>
      </c>
      <c r="M64" s="510">
        <v>0</v>
      </c>
      <c r="N64" s="510">
        <v>0</v>
      </c>
      <c r="O64" s="510">
        <v>0</v>
      </c>
      <c r="P64" s="510">
        <v>0</v>
      </c>
      <c r="Q64" s="510">
        <v>0</v>
      </c>
      <c r="R64" s="510">
        <v>0</v>
      </c>
      <c r="S64" s="510">
        <v>0</v>
      </c>
      <c r="U64" s="510">
        <v>0</v>
      </c>
      <c r="V64" s="510">
        <v>0</v>
      </c>
      <c r="W64" s="510">
        <v>0</v>
      </c>
      <c r="X64" s="510">
        <v>0</v>
      </c>
      <c r="Y64" s="510">
        <v>0</v>
      </c>
      <c r="Z64" s="510">
        <v>0</v>
      </c>
      <c r="AA64" s="510">
        <v>0</v>
      </c>
      <c r="AB64" s="510">
        <v>0</v>
      </c>
      <c r="AC64" s="510">
        <v>0</v>
      </c>
      <c r="AE64" s="510">
        <v>0</v>
      </c>
      <c r="AF64" s="510">
        <v>0</v>
      </c>
      <c r="AG64" s="510">
        <v>0</v>
      </c>
      <c r="AH64" s="510">
        <v>0</v>
      </c>
      <c r="AI64" s="510">
        <v>0</v>
      </c>
      <c r="AJ64" s="510">
        <v>0</v>
      </c>
      <c r="AK64" s="510">
        <v>0</v>
      </c>
      <c r="AL64" s="510">
        <v>0</v>
      </c>
      <c r="AM64" s="510">
        <v>0</v>
      </c>
      <c r="AO64" s="510">
        <v>0</v>
      </c>
      <c r="AP64" s="510">
        <v>0</v>
      </c>
      <c r="AQ64" s="510">
        <v>0</v>
      </c>
      <c r="AR64" s="510">
        <v>0</v>
      </c>
      <c r="AS64" s="510">
        <v>0</v>
      </c>
      <c r="AT64" s="510">
        <v>0</v>
      </c>
      <c r="AU64" s="510">
        <v>0</v>
      </c>
      <c r="AV64" s="510">
        <v>0</v>
      </c>
      <c r="AW64" s="510">
        <v>0</v>
      </c>
      <c r="AY64" s="510">
        <v>0</v>
      </c>
      <c r="AZ64" s="510">
        <v>0</v>
      </c>
      <c r="BA64" s="510">
        <v>0</v>
      </c>
      <c r="BB64" s="510">
        <v>0</v>
      </c>
      <c r="BC64" s="510">
        <v>0</v>
      </c>
      <c r="BD64" s="510">
        <v>0</v>
      </c>
      <c r="BE64" s="510">
        <v>0</v>
      </c>
      <c r="BF64" s="510">
        <v>0</v>
      </c>
      <c r="BG64" s="510">
        <v>0</v>
      </c>
      <c r="BI64" s="477" t="s">
        <v>431</v>
      </c>
    </row>
    <row r="65" spans="1:61" x14ac:dyDescent="0.2">
      <c r="A65" s="478"/>
      <c r="B65" s="475"/>
      <c r="C65" s="472" t="s">
        <v>515</v>
      </c>
      <c r="D65" s="522" t="s">
        <v>516</v>
      </c>
      <c r="E65" s="519" t="s">
        <v>517</v>
      </c>
      <c r="F65" s="509"/>
      <c r="G65" s="510"/>
      <c r="H65" s="510"/>
      <c r="I65" s="510"/>
      <c r="K65" s="510"/>
      <c r="L65" s="510"/>
      <c r="M65" s="510"/>
      <c r="N65" s="510"/>
      <c r="O65" s="510"/>
      <c r="P65" s="510"/>
      <c r="Q65" s="510"/>
      <c r="R65" s="510"/>
      <c r="S65" s="510"/>
      <c r="U65" s="510"/>
      <c r="V65" s="510"/>
      <c r="W65" s="510"/>
      <c r="X65" s="510"/>
      <c r="Y65" s="510"/>
      <c r="Z65" s="510"/>
      <c r="AA65" s="510"/>
      <c r="AB65" s="510"/>
      <c r="AC65" s="510"/>
      <c r="AE65" s="510"/>
      <c r="AF65" s="510"/>
      <c r="AG65" s="510"/>
      <c r="AH65" s="510"/>
      <c r="AI65" s="510"/>
      <c r="AJ65" s="510"/>
      <c r="AK65" s="510"/>
      <c r="AL65" s="510"/>
      <c r="AM65" s="510"/>
      <c r="AO65" s="510"/>
      <c r="AP65" s="510"/>
      <c r="AQ65" s="510"/>
      <c r="AR65" s="510"/>
      <c r="AS65" s="510"/>
      <c r="AT65" s="510"/>
      <c r="AU65" s="510"/>
      <c r="AV65" s="510"/>
      <c r="AW65" s="510"/>
      <c r="AY65" s="510"/>
      <c r="AZ65" s="510"/>
      <c r="BA65" s="510"/>
      <c r="BB65" s="510"/>
      <c r="BC65" s="510"/>
      <c r="BD65" s="510"/>
      <c r="BE65" s="510"/>
      <c r="BF65" s="510"/>
      <c r="BG65" s="510"/>
    </row>
    <row r="66" spans="1:61" x14ac:dyDescent="0.2">
      <c r="A66" s="478"/>
      <c r="B66" s="475" t="s">
        <v>518</v>
      </c>
      <c r="C66" s="472" t="s">
        <v>519</v>
      </c>
      <c r="D66" s="522" t="s">
        <v>520</v>
      </c>
      <c r="E66" s="519" t="s">
        <v>521</v>
      </c>
      <c r="F66" s="509">
        <v>0</v>
      </c>
      <c r="G66" s="510">
        <v>0</v>
      </c>
      <c r="H66" s="510">
        <v>0</v>
      </c>
      <c r="I66" s="510"/>
      <c r="K66" s="510"/>
      <c r="L66" s="510"/>
      <c r="M66" s="510"/>
      <c r="N66" s="510"/>
      <c r="O66" s="510"/>
      <c r="P66" s="510"/>
      <c r="Q66" s="510"/>
      <c r="R66" s="510"/>
      <c r="S66" s="510"/>
      <c r="U66" s="510"/>
      <c r="V66" s="510"/>
      <c r="W66" s="510"/>
      <c r="X66" s="510"/>
      <c r="Y66" s="510"/>
      <c r="Z66" s="510"/>
      <c r="AA66" s="510"/>
      <c r="AB66" s="510"/>
      <c r="AC66" s="510"/>
      <c r="AE66" s="510"/>
      <c r="AF66" s="510"/>
      <c r="AG66" s="510"/>
      <c r="AH66" s="510"/>
      <c r="AI66" s="510"/>
      <c r="AJ66" s="510"/>
      <c r="AK66" s="510"/>
      <c r="AL66" s="510"/>
      <c r="AM66" s="510"/>
      <c r="AO66" s="510"/>
      <c r="AP66" s="510"/>
      <c r="AQ66" s="510"/>
      <c r="AR66" s="510"/>
      <c r="AS66" s="510"/>
      <c r="AT66" s="510"/>
      <c r="AU66" s="510"/>
      <c r="AV66" s="510"/>
      <c r="AW66" s="510"/>
      <c r="AY66" s="510"/>
      <c r="AZ66" s="510"/>
      <c r="BA66" s="510"/>
      <c r="BB66" s="510"/>
      <c r="BC66" s="510"/>
      <c r="BD66" s="510"/>
      <c r="BE66" s="510"/>
      <c r="BF66" s="510"/>
      <c r="BG66" s="510"/>
      <c r="BI66" s="477" t="s">
        <v>431</v>
      </c>
    </row>
    <row r="67" spans="1:61" x14ac:dyDescent="0.2">
      <c r="A67" s="478"/>
      <c r="B67" s="475" t="s">
        <v>522</v>
      </c>
      <c r="C67" s="472" t="s">
        <v>523</v>
      </c>
      <c r="D67" s="522" t="s">
        <v>524</v>
      </c>
      <c r="E67" s="519" t="s">
        <v>525</v>
      </c>
      <c r="F67" s="509">
        <v>0</v>
      </c>
      <c r="G67" s="510">
        <v>0</v>
      </c>
      <c r="H67" s="510">
        <v>0</v>
      </c>
      <c r="I67" s="510">
        <v>0</v>
      </c>
      <c r="K67" s="510">
        <v>0</v>
      </c>
      <c r="L67" s="510">
        <v>0</v>
      </c>
      <c r="M67" s="510">
        <v>0</v>
      </c>
      <c r="N67" s="510">
        <v>0</v>
      </c>
      <c r="O67" s="510">
        <v>0</v>
      </c>
      <c r="P67" s="510">
        <v>0</v>
      </c>
      <c r="Q67" s="510">
        <v>0</v>
      </c>
      <c r="R67" s="510">
        <v>0</v>
      </c>
      <c r="S67" s="510">
        <v>0</v>
      </c>
      <c r="U67" s="510">
        <v>0</v>
      </c>
      <c r="V67" s="510">
        <v>0</v>
      </c>
      <c r="W67" s="510">
        <v>0</v>
      </c>
      <c r="X67" s="510">
        <v>0</v>
      </c>
      <c r="Y67" s="510">
        <v>0</v>
      </c>
      <c r="Z67" s="510">
        <v>0</v>
      </c>
      <c r="AA67" s="510">
        <v>0</v>
      </c>
      <c r="AB67" s="510">
        <v>0</v>
      </c>
      <c r="AC67" s="510">
        <v>0</v>
      </c>
      <c r="AE67" s="510">
        <v>0</v>
      </c>
      <c r="AF67" s="510">
        <v>0</v>
      </c>
      <c r="AG67" s="510">
        <v>0</v>
      </c>
      <c r="AH67" s="510">
        <v>0</v>
      </c>
      <c r="AI67" s="510">
        <v>0</v>
      </c>
      <c r="AJ67" s="510">
        <v>0</v>
      </c>
      <c r="AK67" s="510">
        <v>0</v>
      </c>
      <c r="AL67" s="510">
        <v>0</v>
      </c>
      <c r="AM67" s="510">
        <v>0</v>
      </c>
      <c r="AO67" s="510">
        <v>0</v>
      </c>
      <c r="AP67" s="510">
        <v>0</v>
      </c>
      <c r="AQ67" s="510">
        <v>0</v>
      </c>
      <c r="AR67" s="510">
        <v>0</v>
      </c>
      <c r="AS67" s="510">
        <v>0</v>
      </c>
      <c r="AT67" s="510">
        <v>0</v>
      </c>
      <c r="AU67" s="510">
        <v>0</v>
      </c>
      <c r="AV67" s="510">
        <v>0</v>
      </c>
      <c r="AW67" s="510">
        <v>0</v>
      </c>
      <c r="AY67" s="510">
        <v>0</v>
      </c>
      <c r="AZ67" s="510">
        <v>0</v>
      </c>
      <c r="BA67" s="510">
        <v>0</v>
      </c>
      <c r="BB67" s="510">
        <v>0</v>
      </c>
      <c r="BC67" s="510">
        <v>0</v>
      </c>
      <c r="BD67" s="510">
        <v>0</v>
      </c>
      <c r="BE67" s="510">
        <v>0</v>
      </c>
      <c r="BF67" s="510">
        <v>0</v>
      </c>
      <c r="BG67" s="510">
        <v>0</v>
      </c>
      <c r="BI67" s="477" t="s">
        <v>431</v>
      </c>
    </row>
    <row r="68" spans="1:61" x14ac:dyDescent="0.2">
      <c r="A68" s="478"/>
      <c r="B68" s="475" t="s">
        <v>526</v>
      </c>
      <c r="C68" s="472" t="s">
        <v>527</v>
      </c>
      <c r="D68" s="522" t="s">
        <v>528</v>
      </c>
      <c r="E68" s="519" t="s">
        <v>529</v>
      </c>
      <c r="F68" s="509">
        <v>3618.67</v>
      </c>
      <c r="G68" s="510">
        <v>4014.5340000000001</v>
      </c>
      <c r="H68" s="510">
        <v>4146.67</v>
      </c>
      <c r="I68" s="510">
        <v>4218.1909999999998</v>
      </c>
      <c r="K68" s="510">
        <v>4642.473</v>
      </c>
      <c r="L68" s="510">
        <v>4885.107</v>
      </c>
      <c r="M68" s="510">
        <v>5132.991</v>
      </c>
      <c r="N68" s="510">
        <v>5322.165</v>
      </c>
      <c r="O68" s="510">
        <v>5623.2870000000003</v>
      </c>
      <c r="P68" s="510">
        <v>5962.9080000000004</v>
      </c>
      <c r="Q68" s="510">
        <v>6205.7520000000004</v>
      </c>
      <c r="R68" s="510">
        <v>6470.8249999999998</v>
      </c>
      <c r="S68" s="510">
        <v>6861.3010000000004</v>
      </c>
      <c r="U68" s="510">
        <v>4029.1149999999998</v>
      </c>
      <c r="V68" s="510">
        <v>3561.127</v>
      </c>
      <c r="W68" s="510">
        <v>3219.0309999999999</v>
      </c>
      <c r="X68" s="510">
        <v>2962.9059999999999</v>
      </c>
      <c r="Y68" s="510">
        <v>2955.16</v>
      </c>
      <c r="Z68" s="510">
        <v>3003.0309999999999</v>
      </c>
      <c r="AA68" s="510">
        <v>2793.7539999999999</v>
      </c>
      <c r="AB68" s="510">
        <v>2557.3910000000001</v>
      </c>
      <c r="AC68" s="510">
        <v>2633.7359999999999</v>
      </c>
      <c r="AE68" s="510">
        <v>4642.473</v>
      </c>
      <c r="AF68" s="510">
        <v>4885.107</v>
      </c>
      <c r="AG68" s="510">
        <v>5132.991</v>
      </c>
      <c r="AH68" s="510">
        <v>5322.165</v>
      </c>
      <c r="AI68" s="510">
        <v>5623.2870000000003</v>
      </c>
      <c r="AJ68" s="510">
        <v>5962.9080000000004</v>
      </c>
      <c r="AK68" s="510">
        <v>6205.7520000000004</v>
      </c>
      <c r="AL68" s="510">
        <v>6470.8249999999998</v>
      </c>
      <c r="AM68" s="510">
        <v>6861.3010000000004</v>
      </c>
      <c r="AO68" s="510">
        <v>4196.2219999999998</v>
      </c>
      <c r="AP68" s="510">
        <v>4278.0649999999996</v>
      </c>
      <c r="AQ68" s="510">
        <v>4352.8310000000001</v>
      </c>
      <c r="AR68" s="510">
        <v>4430.223</v>
      </c>
      <c r="AS68" s="510">
        <v>4602.4350000000004</v>
      </c>
      <c r="AT68" s="510">
        <v>4778.3829999999998</v>
      </c>
      <c r="AU68" s="510">
        <v>4855.55</v>
      </c>
      <c r="AV68" s="510">
        <v>4902.0349999999999</v>
      </c>
      <c r="AW68" s="510">
        <v>5188.9679999999998</v>
      </c>
      <c r="AY68" s="510">
        <v>4041.6869999999999</v>
      </c>
      <c r="AZ68" s="510">
        <v>3473.3069999999998</v>
      </c>
      <c r="BA68" s="510">
        <v>3313.28</v>
      </c>
      <c r="BB68" s="510">
        <v>3132.9029999999998</v>
      </c>
      <c r="BC68" s="510">
        <v>3260.2159999999999</v>
      </c>
      <c r="BD68" s="510">
        <v>3298.2660000000001</v>
      </c>
      <c r="BE68" s="510">
        <v>3165.2190000000001</v>
      </c>
      <c r="BF68" s="510">
        <v>2993.6529999999998</v>
      </c>
      <c r="BG68" s="510">
        <v>3095.5680000000002</v>
      </c>
      <c r="BI68" s="477" t="s">
        <v>431</v>
      </c>
    </row>
    <row r="69" spans="1:61" x14ac:dyDescent="0.2">
      <c r="A69" s="478"/>
      <c r="B69" s="475"/>
      <c r="D69" s="522" t="s">
        <v>371</v>
      </c>
    </row>
    <row r="70" spans="1:61" x14ac:dyDescent="0.2">
      <c r="A70" s="478"/>
      <c r="B70" s="475"/>
      <c r="D70" s="522" t="s">
        <v>371</v>
      </c>
      <c r="E70" s="503" t="s">
        <v>530</v>
      </c>
    </row>
    <row r="71" spans="1:61" x14ac:dyDescent="0.2">
      <c r="A71" s="478"/>
      <c r="B71" s="475" t="s">
        <v>531</v>
      </c>
      <c r="C71" s="472" t="s">
        <v>532</v>
      </c>
      <c r="D71" s="522" t="s">
        <v>533</v>
      </c>
      <c r="E71" s="479" t="s">
        <v>534</v>
      </c>
      <c r="F71" s="509">
        <v>0</v>
      </c>
      <c r="G71" s="510">
        <v>0</v>
      </c>
      <c r="H71" s="510">
        <v>0</v>
      </c>
      <c r="I71" s="510">
        <v>0</v>
      </c>
      <c r="K71" s="510"/>
      <c r="L71" s="510"/>
      <c r="M71" s="510"/>
      <c r="N71" s="510"/>
      <c r="O71" s="510"/>
      <c r="P71" s="510"/>
      <c r="Q71" s="510"/>
      <c r="R71" s="510"/>
      <c r="S71" s="510"/>
      <c r="U71" s="510"/>
      <c r="V71" s="510"/>
      <c r="W71" s="510"/>
      <c r="X71" s="510"/>
      <c r="Y71" s="510"/>
      <c r="Z71" s="510"/>
      <c r="AA71" s="510"/>
      <c r="AB71" s="510"/>
      <c r="AC71" s="510"/>
      <c r="AE71" s="510"/>
      <c r="AF71" s="510"/>
      <c r="AG71" s="510"/>
      <c r="AH71" s="510"/>
      <c r="AI71" s="510"/>
      <c r="AJ71" s="510"/>
      <c r="AK71" s="510"/>
      <c r="AL71" s="510"/>
      <c r="AM71" s="510"/>
      <c r="AO71" s="510"/>
      <c r="AP71" s="510"/>
      <c r="AQ71" s="510"/>
      <c r="AR71" s="510"/>
      <c r="AS71" s="510"/>
      <c r="AT71" s="510"/>
      <c r="AU71" s="510"/>
      <c r="AV71" s="510"/>
      <c r="AW71" s="510"/>
      <c r="AY71" s="510"/>
      <c r="AZ71" s="510"/>
      <c r="BA71" s="510"/>
      <c r="BB71" s="510"/>
      <c r="BC71" s="510"/>
      <c r="BD71" s="510"/>
      <c r="BE71" s="510"/>
      <c r="BF71" s="510"/>
      <c r="BG71" s="510"/>
      <c r="BI71" s="477" t="s">
        <v>431</v>
      </c>
    </row>
    <row r="72" spans="1:61" x14ac:dyDescent="0.2">
      <c r="A72" s="478"/>
      <c r="B72" s="475" t="s">
        <v>535</v>
      </c>
      <c r="C72" s="472" t="s">
        <v>536</v>
      </c>
      <c r="D72" s="522" t="s">
        <v>537</v>
      </c>
      <c r="E72" s="479" t="s">
        <v>538</v>
      </c>
      <c r="F72" s="509">
        <v>0</v>
      </c>
      <c r="G72" s="510">
        <v>0</v>
      </c>
      <c r="H72" s="510">
        <v>0</v>
      </c>
      <c r="I72" s="510">
        <v>0</v>
      </c>
      <c r="K72" s="510"/>
      <c r="L72" s="510"/>
      <c r="M72" s="510"/>
      <c r="N72" s="510"/>
      <c r="O72" s="510"/>
      <c r="P72" s="510"/>
      <c r="Q72" s="510"/>
      <c r="R72" s="510"/>
      <c r="S72" s="510"/>
      <c r="U72" s="510"/>
      <c r="V72" s="510"/>
      <c r="W72" s="510"/>
      <c r="X72" s="510"/>
      <c r="Y72" s="510"/>
      <c r="Z72" s="510"/>
      <c r="AA72" s="510"/>
      <c r="AB72" s="510"/>
      <c r="AC72" s="510"/>
      <c r="AE72" s="510"/>
      <c r="AF72" s="510"/>
      <c r="AG72" s="510"/>
      <c r="AH72" s="510"/>
      <c r="AI72" s="510"/>
      <c r="AJ72" s="510"/>
      <c r="AK72" s="510"/>
      <c r="AL72" s="510"/>
      <c r="AM72" s="510"/>
      <c r="AO72" s="510"/>
      <c r="AP72" s="510"/>
      <c r="AQ72" s="510"/>
      <c r="AR72" s="510"/>
      <c r="AS72" s="510"/>
      <c r="AT72" s="510"/>
      <c r="AU72" s="510"/>
      <c r="AV72" s="510"/>
      <c r="AW72" s="510"/>
      <c r="AY72" s="510"/>
      <c r="AZ72" s="510"/>
      <c r="BA72" s="510"/>
      <c r="BB72" s="510"/>
      <c r="BC72" s="510"/>
      <c r="BD72" s="510"/>
      <c r="BE72" s="510"/>
      <c r="BF72" s="510"/>
      <c r="BG72" s="510"/>
      <c r="BI72" s="477" t="s">
        <v>431</v>
      </c>
    </row>
    <row r="73" spans="1:61" x14ac:dyDescent="0.2">
      <c r="A73" s="478"/>
      <c r="B73" s="475" t="s">
        <v>539</v>
      </c>
      <c r="C73" s="472" t="s">
        <v>540</v>
      </c>
      <c r="D73" s="522" t="s">
        <v>541</v>
      </c>
      <c r="E73" s="479" t="s">
        <v>542</v>
      </c>
      <c r="F73" s="509">
        <v>0</v>
      </c>
      <c r="G73" s="510">
        <v>0</v>
      </c>
      <c r="H73" s="510">
        <v>0</v>
      </c>
      <c r="I73" s="510">
        <v>0</v>
      </c>
      <c r="K73" s="510"/>
      <c r="L73" s="510"/>
      <c r="M73" s="510"/>
      <c r="N73" s="510"/>
      <c r="O73" s="510"/>
      <c r="P73" s="510"/>
      <c r="Q73" s="510"/>
      <c r="R73" s="510"/>
      <c r="S73" s="510"/>
      <c r="U73" s="510"/>
      <c r="V73" s="510"/>
      <c r="W73" s="510"/>
      <c r="X73" s="510"/>
      <c r="Y73" s="510"/>
      <c r="Z73" s="510"/>
      <c r="AA73" s="510"/>
      <c r="AB73" s="510"/>
      <c r="AC73" s="510"/>
      <c r="AE73" s="510"/>
      <c r="AF73" s="510"/>
      <c r="AG73" s="510"/>
      <c r="AH73" s="510"/>
      <c r="AI73" s="510"/>
      <c r="AJ73" s="510"/>
      <c r="AK73" s="510"/>
      <c r="AL73" s="510"/>
      <c r="AM73" s="510"/>
      <c r="AO73" s="510"/>
      <c r="AP73" s="510"/>
      <c r="AQ73" s="510"/>
      <c r="AR73" s="510"/>
      <c r="AS73" s="510"/>
      <c r="AT73" s="510"/>
      <c r="AU73" s="510"/>
      <c r="AV73" s="510"/>
      <c r="AW73" s="510"/>
      <c r="AY73" s="510"/>
      <c r="AZ73" s="510"/>
      <c r="BA73" s="510"/>
      <c r="BB73" s="510"/>
      <c r="BC73" s="510"/>
      <c r="BD73" s="510"/>
      <c r="BE73" s="510"/>
      <c r="BF73" s="510"/>
      <c r="BG73" s="510"/>
      <c r="BI73" s="477" t="s">
        <v>431</v>
      </c>
    </row>
    <row r="74" spans="1:61" x14ac:dyDescent="0.2">
      <c r="A74" s="478"/>
      <c r="B74" s="475" t="s">
        <v>543</v>
      </c>
      <c r="C74" s="472" t="s">
        <v>544</v>
      </c>
      <c r="D74" s="522" t="s">
        <v>545</v>
      </c>
      <c r="E74" s="479" t="s">
        <v>546</v>
      </c>
      <c r="F74" s="509">
        <v>0</v>
      </c>
      <c r="G74" s="510">
        <v>0</v>
      </c>
      <c r="H74" s="510">
        <v>0</v>
      </c>
      <c r="I74" s="510">
        <v>0</v>
      </c>
      <c r="K74" s="510">
        <v>0</v>
      </c>
      <c r="L74" s="510">
        <v>0</v>
      </c>
      <c r="M74" s="510">
        <v>0</v>
      </c>
      <c r="N74" s="510">
        <v>0</v>
      </c>
      <c r="O74" s="510">
        <v>0</v>
      </c>
      <c r="P74" s="510">
        <v>0</v>
      </c>
      <c r="Q74" s="510">
        <v>0</v>
      </c>
      <c r="R74" s="510">
        <v>0</v>
      </c>
      <c r="S74" s="510">
        <v>0</v>
      </c>
      <c r="U74" s="510">
        <v>0</v>
      </c>
      <c r="V74" s="510">
        <v>0</v>
      </c>
      <c r="W74" s="510">
        <v>0</v>
      </c>
      <c r="X74" s="510">
        <v>0</v>
      </c>
      <c r="Y74" s="510">
        <v>0</v>
      </c>
      <c r="Z74" s="510">
        <v>0</v>
      </c>
      <c r="AA74" s="510">
        <v>0</v>
      </c>
      <c r="AB74" s="510">
        <v>0</v>
      </c>
      <c r="AC74" s="510">
        <v>0</v>
      </c>
      <c r="AE74" s="510">
        <v>0</v>
      </c>
      <c r="AF74" s="510">
        <v>0</v>
      </c>
      <c r="AG74" s="510">
        <v>0</v>
      </c>
      <c r="AH74" s="510">
        <v>0</v>
      </c>
      <c r="AI74" s="510">
        <v>0</v>
      </c>
      <c r="AJ74" s="510">
        <v>0</v>
      </c>
      <c r="AK74" s="510">
        <v>0</v>
      </c>
      <c r="AL74" s="510">
        <v>0</v>
      </c>
      <c r="AM74" s="510">
        <v>0</v>
      </c>
      <c r="AO74" s="510">
        <v>0</v>
      </c>
      <c r="AP74" s="510">
        <v>0</v>
      </c>
      <c r="AQ74" s="510">
        <v>0</v>
      </c>
      <c r="AR74" s="510">
        <v>0</v>
      </c>
      <c r="AS74" s="510">
        <v>0</v>
      </c>
      <c r="AT74" s="510">
        <v>0</v>
      </c>
      <c r="AU74" s="510">
        <v>0</v>
      </c>
      <c r="AV74" s="510">
        <v>0</v>
      </c>
      <c r="AW74" s="510">
        <v>0</v>
      </c>
      <c r="AY74" s="510">
        <v>0</v>
      </c>
      <c r="AZ74" s="510">
        <v>0</v>
      </c>
      <c r="BA74" s="510">
        <v>0</v>
      </c>
      <c r="BB74" s="510">
        <v>0</v>
      </c>
      <c r="BC74" s="510">
        <v>0</v>
      </c>
      <c r="BD74" s="510">
        <v>0</v>
      </c>
      <c r="BE74" s="510">
        <v>0</v>
      </c>
      <c r="BF74" s="510">
        <v>0</v>
      </c>
      <c r="BG74" s="510">
        <v>0</v>
      </c>
      <c r="BI74" s="477" t="s">
        <v>431</v>
      </c>
    </row>
    <row r="75" spans="1:61" x14ac:dyDescent="0.2">
      <c r="A75" s="478"/>
      <c r="B75" s="475" t="s">
        <v>547</v>
      </c>
      <c r="C75" s="472" t="s">
        <v>548</v>
      </c>
      <c r="D75" s="522" t="s">
        <v>549</v>
      </c>
      <c r="E75" s="479" t="s">
        <v>550</v>
      </c>
      <c r="F75" s="509">
        <v>0</v>
      </c>
      <c r="G75" s="510">
        <v>0</v>
      </c>
      <c r="H75" s="510">
        <v>0</v>
      </c>
      <c r="I75" s="510">
        <v>0</v>
      </c>
      <c r="K75" s="510"/>
      <c r="L75" s="510"/>
      <c r="M75" s="510"/>
      <c r="N75" s="510"/>
      <c r="O75" s="510"/>
      <c r="P75" s="510"/>
      <c r="Q75" s="510"/>
      <c r="R75" s="510"/>
      <c r="S75" s="510"/>
      <c r="U75" s="510"/>
      <c r="V75" s="510"/>
      <c r="W75" s="510"/>
      <c r="X75" s="510"/>
      <c r="Y75" s="510"/>
      <c r="Z75" s="510"/>
      <c r="AA75" s="510"/>
      <c r="AB75" s="510"/>
      <c r="AC75" s="510"/>
      <c r="AE75" s="510"/>
      <c r="AF75" s="510"/>
      <c r="AG75" s="510"/>
      <c r="AH75" s="510"/>
      <c r="AI75" s="510"/>
      <c r="AJ75" s="510"/>
      <c r="AK75" s="510"/>
      <c r="AL75" s="510"/>
      <c r="AM75" s="510"/>
      <c r="AO75" s="510"/>
      <c r="AP75" s="510"/>
      <c r="AQ75" s="510"/>
      <c r="AR75" s="510"/>
      <c r="AS75" s="510"/>
      <c r="AT75" s="510"/>
      <c r="AU75" s="510"/>
      <c r="AV75" s="510"/>
      <c r="AW75" s="510"/>
      <c r="AY75" s="510"/>
      <c r="AZ75" s="510"/>
      <c r="BA75" s="510"/>
      <c r="BB75" s="510"/>
      <c r="BC75" s="510"/>
      <c r="BD75" s="510"/>
      <c r="BE75" s="510"/>
      <c r="BF75" s="510"/>
      <c r="BG75" s="510"/>
      <c r="BI75" s="477" t="s">
        <v>431</v>
      </c>
    </row>
    <row r="76" spans="1:61" x14ac:dyDescent="0.2">
      <c r="A76" s="478"/>
      <c r="B76" s="475" t="s">
        <v>551</v>
      </c>
      <c r="C76" s="472" t="s">
        <v>552</v>
      </c>
      <c r="D76" s="522" t="s">
        <v>553</v>
      </c>
      <c r="E76" s="479" t="s">
        <v>530</v>
      </c>
      <c r="F76" s="509">
        <v>0</v>
      </c>
      <c r="G76" s="510">
        <v>0</v>
      </c>
      <c r="H76" s="510">
        <v>0</v>
      </c>
      <c r="I76" s="510">
        <v>0</v>
      </c>
      <c r="K76" s="510">
        <v>0</v>
      </c>
      <c r="L76" s="510">
        <v>0</v>
      </c>
      <c r="M76" s="510">
        <v>0</v>
      </c>
      <c r="N76" s="510">
        <v>0</v>
      </c>
      <c r="O76" s="510">
        <v>0</v>
      </c>
      <c r="P76" s="510">
        <v>0</v>
      </c>
      <c r="Q76" s="510">
        <v>0</v>
      </c>
      <c r="R76" s="510">
        <v>0</v>
      </c>
      <c r="S76" s="510">
        <v>0</v>
      </c>
      <c r="U76" s="510">
        <v>0</v>
      </c>
      <c r="V76" s="510">
        <v>0</v>
      </c>
      <c r="W76" s="510">
        <v>0</v>
      </c>
      <c r="X76" s="510">
        <v>0</v>
      </c>
      <c r="Y76" s="510">
        <v>0</v>
      </c>
      <c r="Z76" s="510">
        <v>0</v>
      </c>
      <c r="AA76" s="510">
        <v>0</v>
      </c>
      <c r="AB76" s="510">
        <v>0</v>
      </c>
      <c r="AC76" s="510">
        <v>0</v>
      </c>
      <c r="AE76" s="510">
        <v>0</v>
      </c>
      <c r="AF76" s="510">
        <v>0</v>
      </c>
      <c r="AG76" s="510">
        <v>0</v>
      </c>
      <c r="AH76" s="510">
        <v>0</v>
      </c>
      <c r="AI76" s="510">
        <v>0</v>
      </c>
      <c r="AJ76" s="510">
        <v>0</v>
      </c>
      <c r="AK76" s="510">
        <v>0</v>
      </c>
      <c r="AL76" s="510">
        <v>0</v>
      </c>
      <c r="AM76" s="510">
        <v>0</v>
      </c>
      <c r="AO76" s="510">
        <v>0</v>
      </c>
      <c r="AP76" s="510">
        <v>0</v>
      </c>
      <c r="AQ76" s="510">
        <v>0</v>
      </c>
      <c r="AR76" s="510">
        <v>0</v>
      </c>
      <c r="AS76" s="510">
        <v>0</v>
      </c>
      <c r="AT76" s="510">
        <v>0</v>
      </c>
      <c r="AU76" s="510">
        <v>0</v>
      </c>
      <c r="AV76" s="510">
        <v>0</v>
      </c>
      <c r="AW76" s="510">
        <v>0</v>
      </c>
      <c r="AY76" s="510">
        <v>0</v>
      </c>
      <c r="AZ76" s="510">
        <v>0</v>
      </c>
      <c r="BA76" s="510">
        <v>0</v>
      </c>
      <c r="BB76" s="510">
        <v>0</v>
      </c>
      <c r="BC76" s="510">
        <v>0</v>
      </c>
      <c r="BD76" s="510">
        <v>0</v>
      </c>
      <c r="BE76" s="510">
        <v>0</v>
      </c>
      <c r="BF76" s="510">
        <v>0</v>
      </c>
      <c r="BG76" s="510">
        <v>0</v>
      </c>
      <c r="BI76" s="477" t="s">
        <v>431</v>
      </c>
    </row>
    <row r="77" spans="1:61" x14ac:dyDescent="0.2">
      <c r="A77" s="478"/>
      <c r="B77" s="475"/>
      <c r="D77" s="522" t="s">
        <v>371</v>
      </c>
    </row>
    <row r="78" spans="1:61" x14ac:dyDescent="0.2">
      <c r="A78" s="478"/>
      <c r="B78" s="475"/>
      <c r="D78" s="522" t="s">
        <v>371</v>
      </c>
      <c r="E78" s="503" t="s">
        <v>554</v>
      </c>
    </row>
    <row r="79" spans="1:61" x14ac:dyDescent="0.2">
      <c r="A79" s="478"/>
      <c r="B79" s="475" t="s">
        <v>555</v>
      </c>
      <c r="C79" s="472" t="s">
        <v>556</v>
      </c>
      <c r="D79" s="522" t="s">
        <v>557</v>
      </c>
      <c r="E79" s="479" t="s">
        <v>558</v>
      </c>
      <c r="F79" s="509">
        <v>3618.67</v>
      </c>
      <c r="G79" s="510">
        <v>4014.5340000000001</v>
      </c>
      <c r="H79" s="510">
        <v>4146.67</v>
      </c>
      <c r="I79" s="510">
        <v>4218.1909999999998</v>
      </c>
      <c r="K79" s="510">
        <v>4642.473</v>
      </c>
      <c r="L79" s="510">
        <v>4885.107</v>
      </c>
      <c r="M79" s="510">
        <v>5132.991</v>
      </c>
      <c r="N79" s="510">
        <v>5322.165</v>
      </c>
      <c r="O79" s="510">
        <v>5623.2870000000003</v>
      </c>
      <c r="P79" s="510">
        <v>5962.9080000000004</v>
      </c>
      <c r="Q79" s="510">
        <v>6205.7520000000004</v>
      </c>
      <c r="R79" s="510">
        <v>6470.8249999999998</v>
      </c>
      <c r="S79" s="510">
        <v>6861.3010000000004</v>
      </c>
      <c r="U79" s="510">
        <v>4029.1149999999998</v>
      </c>
      <c r="V79" s="510">
        <v>3561.127</v>
      </c>
      <c r="W79" s="510">
        <v>3219.0309999999999</v>
      </c>
      <c r="X79" s="510">
        <v>2962.9059999999999</v>
      </c>
      <c r="Y79" s="510">
        <v>2955.16</v>
      </c>
      <c r="Z79" s="510">
        <v>3003.0309999999999</v>
      </c>
      <c r="AA79" s="510">
        <v>2793.7539999999999</v>
      </c>
      <c r="AB79" s="510">
        <v>2557.3910000000001</v>
      </c>
      <c r="AC79" s="510">
        <v>2633.7359999999999</v>
      </c>
      <c r="AE79" s="510">
        <v>4642.473</v>
      </c>
      <c r="AF79" s="510">
        <v>4885.107</v>
      </c>
      <c r="AG79" s="510">
        <v>5132.991</v>
      </c>
      <c r="AH79" s="510">
        <v>5322.165</v>
      </c>
      <c r="AI79" s="510">
        <v>5623.2870000000003</v>
      </c>
      <c r="AJ79" s="510">
        <v>5962.9080000000004</v>
      </c>
      <c r="AK79" s="510">
        <v>6205.7520000000004</v>
      </c>
      <c r="AL79" s="510">
        <v>6470.8249999999998</v>
      </c>
      <c r="AM79" s="510">
        <v>6861.3010000000004</v>
      </c>
      <c r="AO79" s="510">
        <v>4196.2219999999998</v>
      </c>
      <c r="AP79" s="510">
        <v>4278.0649999999996</v>
      </c>
      <c r="AQ79" s="510">
        <v>4352.8310000000001</v>
      </c>
      <c r="AR79" s="510">
        <v>4430.223</v>
      </c>
      <c r="AS79" s="510">
        <v>4602.4350000000004</v>
      </c>
      <c r="AT79" s="510">
        <v>4778.3829999999998</v>
      </c>
      <c r="AU79" s="510">
        <v>4855.55</v>
      </c>
      <c r="AV79" s="510">
        <v>4902.0349999999999</v>
      </c>
      <c r="AW79" s="510">
        <v>5188.9679999999998</v>
      </c>
      <c r="AY79" s="510">
        <v>4041.6869999999999</v>
      </c>
      <c r="AZ79" s="510">
        <v>3473.3069999999998</v>
      </c>
      <c r="BA79" s="510">
        <v>3313.28</v>
      </c>
      <c r="BB79" s="510">
        <v>3132.9029999999998</v>
      </c>
      <c r="BC79" s="510">
        <v>3260.2159999999999</v>
      </c>
      <c r="BD79" s="510">
        <v>3298.2660000000001</v>
      </c>
      <c r="BE79" s="510">
        <v>3165.2190000000001</v>
      </c>
      <c r="BF79" s="510">
        <v>2993.6529999999998</v>
      </c>
      <c r="BG79" s="510">
        <v>3095.5680000000002</v>
      </c>
      <c r="BI79" s="477" t="s">
        <v>431</v>
      </c>
    </row>
    <row r="80" spans="1:61" x14ac:dyDescent="0.2">
      <c r="A80" s="478"/>
      <c r="B80" s="475"/>
      <c r="D80" s="522" t="s">
        <v>371</v>
      </c>
    </row>
    <row r="81" spans="1:61" x14ac:dyDescent="0.2">
      <c r="A81" s="478"/>
      <c r="B81" s="475"/>
      <c r="D81" s="522" t="s">
        <v>371</v>
      </c>
      <c r="E81" s="503" t="s">
        <v>559</v>
      </c>
    </row>
    <row r="82" spans="1:61" x14ac:dyDescent="0.2">
      <c r="A82" s="478"/>
      <c r="B82" s="475" t="s">
        <v>560</v>
      </c>
      <c r="C82" s="472" t="s">
        <v>561</v>
      </c>
      <c r="D82" s="522" t="s">
        <v>562</v>
      </c>
      <c r="E82" s="479" t="s">
        <v>563</v>
      </c>
      <c r="F82" s="509">
        <v>0</v>
      </c>
      <c r="G82" s="510">
        <v>0</v>
      </c>
      <c r="H82" s="510">
        <v>0</v>
      </c>
      <c r="I82" s="510">
        <v>0</v>
      </c>
      <c r="K82" s="510"/>
      <c r="L82" s="510"/>
      <c r="M82" s="510"/>
      <c r="N82" s="510"/>
      <c r="O82" s="510"/>
      <c r="P82" s="510"/>
      <c r="Q82" s="510"/>
      <c r="R82" s="510"/>
      <c r="S82" s="510"/>
      <c r="U82" s="510"/>
      <c r="V82" s="510"/>
      <c r="W82" s="510"/>
      <c r="X82" s="510"/>
      <c r="Y82" s="510"/>
      <c r="Z82" s="510"/>
      <c r="AA82" s="510"/>
      <c r="AB82" s="510"/>
      <c r="AC82" s="510"/>
      <c r="AE82" s="510"/>
      <c r="AF82" s="510"/>
      <c r="AG82" s="510"/>
      <c r="AH82" s="510"/>
      <c r="AI82" s="510"/>
      <c r="AJ82" s="510"/>
      <c r="AK82" s="510"/>
      <c r="AL82" s="510"/>
      <c r="AM82" s="510"/>
      <c r="AO82" s="510"/>
      <c r="AP82" s="510"/>
      <c r="AQ82" s="510"/>
      <c r="AR82" s="510"/>
      <c r="AS82" s="510"/>
      <c r="AT82" s="510"/>
      <c r="AU82" s="510"/>
      <c r="AV82" s="510"/>
      <c r="AW82" s="510"/>
      <c r="AY82" s="510"/>
      <c r="AZ82" s="510"/>
      <c r="BA82" s="510"/>
      <c r="BB82" s="510"/>
      <c r="BC82" s="510"/>
      <c r="BD82" s="510"/>
      <c r="BE82" s="510"/>
      <c r="BF82" s="510"/>
      <c r="BG82" s="510"/>
      <c r="BI82" s="477" t="s">
        <v>431</v>
      </c>
    </row>
    <row r="83" spans="1:61" x14ac:dyDescent="0.2">
      <c r="A83" s="478"/>
      <c r="B83" s="475" t="s">
        <v>564</v>
      </c>
      <c r="C83" s="472" t="s">
        <v>565</v>
      </c>
      <c r="D83" s="522" t="s">
        <v>566</v>
      </c>
      <c r="E83" s="479" t="s">
        <v>567</v>
      </c>
      <c r="F83" s="509">
        <v>0</v>
      </c>
      <c r="G83" s="510">
        <v>0</v>
      </c>
      <c r="H83" s="510">
        <v>0</v>
      </c>
      <c r="I83" s="510">
        <v>0</v>
      </c>
      <c r="K83" s="510"/>
      <c r="L83" s="510"/>
      <c r="M83" s="510"/>
      <c r="N83" s="510"/>
      <c r="O83" s="510"/>
      <c r="P83" s="510"/>
      <c r="Q83" s="510"/>
      <c r="R83" s="510"/>
      <c r="S83" s="510"/>
      <c r="U83" s="510"/>
      <c r="V83" s="510"/>
      <c r="W83" s="510"/>
      <c r="X83" s="510"/>
      <c r="Y83" s="510"/>
      <c r="Z83" s="510"/>
      <c r="AA83" s="510"/>
      <c r="AB83" s="510"/>
      <c r="AC83" s="510"/>
      <c r="AE83" s="510"/>
      <c r="AF83" s="510"/>
      <c r="AG83" s="510"/>
      <c r="AH83" s="510"/>
      <c r="AI83" s="510"/>
      <c r="AJ83" s="510"/>
      <c r="AK83" s="510"/>
      <c r="AL83" s="510"/>
      <c r="AM83" s="510"/>
      <c r="AO83" s="510"/>
      <c r="AP83" s="510"/>
      <c r="AQ83" s="510"/>
      <c r="AR83" s="510"/>
      <c r="AS83" s="510"/>
      <c r="AT83" s="510"/>
      <c r="AU83" s="510"/>
      <c r="AV83" s="510"/>
      <c r="AW83" s="510"/>
      <c r="AY83" s="510"/>
      <c r="AZ83" s="510"/>
      <c r="BA83" s="510"/>
      <c r="BB83" s="510"/>
      <c r="BC83" s="510"/>
      <c r="BD83" s="510"/>
      <c r="BE83" s="510"/>
      <c r="BF83" s="510"/>
      <c r="BG83" s="510"/>
      <c r="BI83" s="477" t="s">
        <v>431</v>
      </c>
    </row>
    <row r="84" spans="1:61" x14ac:dyDescent="0.2">
      <c r="A84" s="478"/>
      <c r="B84" s="475" t="s">
        <v>568</v>
      </c>
      <c r="C84" s="472" t="s">
        <v>569</v>
      </c>
      <c r="D84" s="522" t="s">
        <v>570</v>
      </c>
      <c r="E84" s="479" t="s">
        <v>571</v>
      </c>
      <c r="F84" s="509">
        <v>0</v>
      </c>
      <c r="G84" s="510">
        <v>0</v>
      </c>
      <c r="H84" s="510">
        <v>0</v>
      </c>
      <c r="I84" s="510">
        <v>0</v>
      </c>
      <c r="K84" s="510"/>
      <c r="L84" s="510"/>
      <c r="M84" s="510"/>
      <c r="N84" s="510"/>
      <c r="O84" s="510"/>
      <c r="P84" s="510"/>
      <c r="Q84" s="510"/>
      <c r="R84" s="510"/>
      <c r="S84" s="510"/>
      <c r="U84" s="510"/>
      <c r="V84" s="510"/>
      <c r="W84" s="510"/>
      <c r="X84" s="510"/>
      <c r="Y84" s="510"/>
      <c r="Z84" s="510"/>
      <c r="AA84" s="510"/>
      <c r="AB84" s="510"/>
      <c r="AC84" s="510"/>
      <c r="AE84" s="510"/>
      <c r="AF84" s="510"/>
      <c r="AG84" s="510"/>
      <c r="AH84" s="510"/>
      <c r="AI84" s="510"/>
      <c r="AJ84" s="510"/>
      <c r="AK84" s="510"/>
      <c r="AL84" s="510"/>
      <c r="AM84" s="510"/>
      <c r="AO84" s="510"/>
      <c r="AP84" s="510"/>
      <c r="AQ84" s="510"/>
      <c r="AR84" s="510"/>
      <c r="AS84" s="510"/>
      <c r="AT84" s="510"/>
      <c r="AU84" s="510"/>
      <c r="AV84" s="510"/>
      <c r="AW84" s="510"/>
      <c r="AY84" s="510"/>
      <c r="AZ84" s="510"/>
      <c r="BA84" s="510"/>
      <c r="BB84" s="510"/>
      <c r="BC84" s="510"/>
      <c r="BD84" s="510"/>
      <c r="BE84" s="510"/>
      <c r="BF84" s="510"/>
      <c r="BG84" s="510"/>
      <c r="BI84" s="477" t="s">
        <v>431</v>
      </c>
    </row>
    <row r="85" spans="1:61" x14ac:dyDescent="0.2">
      <c r="A85" s="478"/>
      <c r="B85" s="475" t="s">
        <v>572</v>
      </c>
      <c r="C85" s="472" t="s">
        <v>573</v>
      </c>
      <c r="D85" s="522" t="s">
        <v>574</v>
      </c>
      <c r="E85" s="479" t="s">
        <v>575</v>
      </c>
      <c r="F85" s="509">
        <v>481.63459999999998</v>
      </c>
      <c r="G85" s="510">
        <v>504.61291249999999</v>
      </c>
      <c r="H85" s="510">
        <v>498.54202500000002</v>
      </c>
      <c r="I85" s="510">
        <v>509.08123749999999</v>
      </c>
      <c r="K85" s="510">
        <v>481.03399999999999</v>
      </c>
      <c r="L85" s="510">
        <v>486.78500000000003</v>
      </c>
      <c r="M85" s="510">
        <v>479.88299999999998</v>
      </c>
      <c r="N85" s="510">
        <v>483.11200000000002</v>
      </c>
      <c r="O85" s="510">
        <v>474.346</v>
      </c>
      <c r="P85" s="510">
        <v>486.863</v>
      </c>
      <c r="Q85" s="510">
        <v>498.298</v>
      </c>
      <c r="R85" s="510">
        <v>509.37799999999999</v>
      </c>
      <c r="S85" s="510">
        <v>505.49200000000002</v>
      </c>
      <c r="U85" s="510">
        <v>483.22300000000001</v>
      </c>
      <c r="V85" s="510">
        <v>492.029</v>
      </c>
      <c r="W85" s="510">
        <v>493.99299999999999</v>
      </c>
      <c r="X85" s="510">
        <v>484.53699999999998</v>
      </c>
      <c r="Y85" s="510">
        <v>453.48200000000003</v>
      </c>
      <c r="Z85" s="510">
        <v>441.858</v>
      </c>
      <c r="AA85" s="510">
        <v>428.06700000000001</v>
      </c>
      <c r="AB85" s="510">
        <v>416.79</v>
      </c>
      <c r="AC85" s="510">
        <v>391.43599999999998</v>
      </c>
      <c r="AE85" s="510">
        <v>481.03399999999999</v>
      </c>
      <c r="AF85" s="510">
        <v>486.78500000000003</v>
      </c>
      <c r="AG85" s="510">
        <v>479.88299999999998</v>
      </c>
      <c r="AH85" s="510">
        <v>483.11200000000002</v>
      </c>
      <c r="AI85" s="510">
        <v>474.346</v>
      </c>
      <c r="AJ85" s="510">
        <v>486.863</v>
      </c>
      <c r="AK85" s="510">
        <v>498.298</v>
      </c>
      <c r="AL85" s="510">
        <v>509.37799999999999</v>
      </c>
      <c r="AM85" s="510">
        <v>505.49200000000002</v>
      </c>
      <c r="AO85" s="510">
        <v>487.33</v>
      </c>
      <c r="AP85" s="510">
        <v>499.04199999999997</v>
      </c>
      <c r="AQ85" s="510">
        <v>499.23399999999998</v>
      </c>
      <c r="AR85" s="510">
        <v>493.67399999999998</v>
      </c>
      <c r="AS85" s="510">
        <v>470.35500000000002</v>
      </c>
      <c r="AT85" s="510">
        <v>467.23099999999999</v>
      </c>
      <c r="AU85" s="510">
        <v>460.44200000000001</v>
      </c>
      <c r="AV85" s="510">
        <v>455.81400000000002</v>
      </c>
      <c r="AW85" s="510">
        <v>430.101</v>
      </c>
      <c r="AY85" s="510">
        <v>481.834</v>
      </c>
      <c r="AZ85" s="510">
        <v>496.79399999999998</v>
      </c>
      <c r="BA85" s="510">
        <v>497.084</v>
      </c>
      <c r="BB85" s="510">
        <v>484.95499999999998</v>
      </c>
      <c r="BC85" s="510">
        <v>455.50099999999998</v>
      </c>
      <c r="BD85" s="510">
        <v>448.101</v>
      </c>
      <c r="BE85" s="510">
        <v>436.51600000000002</v>
      </c>
      <c r="BF85" s="510">
        <v>425.56099999999998</v>
      </c>
      <c r="BG85" s="510">
        <v>398.59</v>
      </c>
      <c r="BI85" s="477" t="s">
        <v>431</v>
      </c>
    </row>
    <row r="86" spans="1:61" x14ac:dyDescent="0.2">
      <c r="A86" s="478"/>
      <c r="B86" s="475"/>
      <c r="C86" s="472" t="s">
        <v>576</v>
      </c>
      <c r="D86" s="522" t="s">
        <v>577</v>
      </c>
      <c r="E86" s="479" t="s">
        <v>578</v>
      </c>
      <c r="F86" s="509"/>
      <c r="G86" s="510"/>
      <c r="H86" s="510"/>
      <c r="I86" s="510"/>
      <c r="K86" s="510"/>
      <c r="L86" s="510"/>
      <c r="M86" s="510"/>
      <c r="N86" s="510"/>
      <c r="O86" s="510"/>
      <c r="P86" s="510"/>
      <c r="Q86" s="510"/>
      <c r="R86" s="510"/>
      <c r="S86" s="510"/>
      <c r="U86" s="510"/>
      <c r="V86" s="510"/>
      <c r="W86" s="510"/>
      <c r="X86" s="510"/>
      <c r="Y86" s="510"/>
      <c r="Z86" s="510"/>
      <c r="AA86" s="510"/>
      <c r="AB86" s="510"/>
      <c r="AC86" s="510"/>
      <c r="AE86" s="510"/>
      <c r="AF86" s="510"/>
      <c r="AG86" s="510"/>
      <c r="AH86" s="510"/>
      <c r="AI86" s="510"/>
      <c r="AJ86" s="510"/>
      <c r="AK86" s="510"/>
      <c r="AL86" s="510"/>
      <c r="AM86" s="510"/>
      <c r="AO86" s="510"/>
      <c r="AP86" s="510"/>
      <c r="AQ86" s="510"/>
      <c r="AR86" s="510"/>
      <c r="AS86" s="510"/>
      <c r="AT86" s="510"/>
      <c r="AU86" s="510"/>
      <c r="AV86" s="510"/>
      <c r="AW86" s="510"/>
      <c r="AY86" s="510"/>
      <c r="AZ86" s="510"/>
      <c r="BA86" s="510"/>
      <c r="BB86" s="510"/>
      <c r="BC86" s="510"/>
      <c r="BD86" s="510"/>
      <c r="BE86" s="510"/>
      <c r="BF86" s="510"/>
      <c r="BG86" s="510"/>
    </row>
    <row r="87" spans="1:61" x14ac:dyDescent="0.2">
      <c r="A87" s="478"/>
      <c r="B87" s="475" t="s">
        <v>579</v>
      </c>
      <c r="C87" s="472" t="s">
        <v>580</v>
      </c>
      <c r="D87" s="522" t="s">
        <v>581</v>
      </c>
      <c r="E87" s="479" t="s">
        <v>582</v>
      </c>
      <c r="F87" s="509">
        <v>0</v>
      </c>
      <c r="G87" s="510">
        <v>0</v>
      </c>
      <c r="H87" s="510">
        <v>0</v>
      </c>
      <c r="I87" s="510">
        <v>0</v>
      </c>
      <c r="K87" s="510"/>
      <c r="L87" s="510"/>
      <c r="M87" s="510"/>
      <c r="N87" s="510"/>
      <c r="O87" s="510"/>
      <c r="P87" s="510"/>
      <c r="Q87" s="510"/>
      <c r="R87" s="510"/>
      <c r="S87" s="510"/>
      <c r="U87" s="510"/>
      <c r="V87" s="510"/>
      <c r="W87" s="510"/>
      <c r="X87" s="510"/>
      <c r="Y87" s="510"/>
      <c r="Z87" s="510"/>
      <c r="AA87" s="510"/>
      <c r="AB87" s="510"/>
      <c r="AC87" s="510"/>
      <c r="AE87" s="510"/>
      <c r="AF87" s="510"/>
      <c r="AG87" s="510"/>
      <c r="AH87" s="510"/>
      <c r="AI87" s="510"/>
      <c r="AJ87" s="510"/>
      <c r="AK87" s="510"/>
      <c r="AL87" s="510"/>
      <c r="AM87" s="510"/>
      <c r="AO87" s="510"/>
      <c r="AP87" s="510"/>
      <c r="AQ87" s="510"/>
      <c r="AR87" s="510"/>
      <c r="AS87" s="510"/>
      <c r="AT87" s="510"/>
      <c r="AU87" s="510"/>
      <c r="AV87" s="510"/>
      <c r="AW87" s="510"/>
      <c r="AY87" s="510"/>
      <c r="AZ87" s="510"/>
      <c r="BA87" s="510"/>
      <c r="BB87" s="510"/>
      <c r="BC87" s="510"/>
      <c r="BD87" s="510"/>
      <c r="BE87" s="510"/>
      <c r="BF87" s="510"/>
      <c r="BG87" s="510"/>
      <c r="BI87" s="477" t="s">
        <v>431</v>
      </c>
    </row>
    <row r="88" spans="1:61" x14ac:dyDescent="0.2">
      <c r="A88" s="478"/>
      <c r="B88" s="475" t="s">
        <v>583</v>
      </c>
      <c r="C88" s="472" t="s">
        <v>584</v>
      </c>
      <c r="D88" s="522" t="s">
        <v>585</v>
      </c>
      <c r="E88" s="479" t="s">
        <v>586</v>
      </c>
      <c r="F88" s="509">
        <v>481.63459999999998</v>
      </c>
      <c r="G88" s="510">
        <v>504.61291249999999</v>
      </c>
      <c r="H88" s="510">
        <v>498.54202500000002</v>
      </c>
      <c r="I88" s="510">
        <v>509.08123749999999</v>
      </c>
      <c r="K88" s="510">
        <v>481.03399999999999</v>
      </c>
      <c r="L88" s="510">
        <v>486.78500000000003</v>
      </c>
      <c r="M88" s="510">
        <v>479.88299999999998</v>
      </c>
      <c r="N88" s="510">
        <v>483.11200000000002</v>
      </c>
      <c r="O88" s="510">
        <v>474.346</v>
      </c>
      <c r="P88" s="510">
        <v>486.863</v>
      </c>
      <c r="Q88" s="510">
        <v>498.298</v>
      </c>
      <c r="R88" s="510">
        <v>509.37799999999999</v>
      </c>
      <c r="S88" s="510">
        <v>505.49200000000002</v>
      </c>
      <c r="U88" s="510">
        <v>483.22300000000001</v>
      </c>
      <c r="V88" s="510">
        <v>492.029</v>
      </c>
      <c r="W88" s="510">
        <v>493.99299999999999</v>
      </c>
      <c r="X88" s="510">
        <v>484.53699999999998</v>
      </c>
      <c r="Y88" s="510">
        <v>453.48200000000003</v>
      </c>
      <c r="Z88" s="510">
        <v>441.858</v>
      </c>
      <c r="AA88" s="510">
        <v>428.06700000000001</v>
      </c>
      <c r="AB88" s="510">
        <v>416.79</v>
      </c>
      <c r="AC88" s="510">
        <v>391.43599999999998</v>
      </c>
      <c r="AE88" s="510">
        <v>481.03399999999999</v>
      </c>
      <c r="AF88" s="510">
        <v>486.78500000000003</v>
      </c>
      <c r="AG88" s="510">
        <v>479.88299999999998</v>
      </c>
      <c r="AH88" s="510">
        <v>483.11200000000002</v>
      </c>
      <c r="AI88" s="510">
        <v>474.346</v>
      </c>
      <c r="AJ88" s="510">
        <v>486.863</v>
      </c>
      <c r="AK88" s="510">
        <v>498.298</v>
      </c>
      <c r="AL88" s="510">
        <v>509.37799999999999</v>
      </c>
      <c r="AM88" s="510">
        <v>505.49200000000002</v>
      </c>
      <c r="AO88" s="510">
        <v>487.33</v>
      </c>
      <c r="AP88" s="510">
        <v>499.04199999999997</v>
      </c>
      <c r="AQ88" s="510">
        <v>499.23399999999998</v>
      </c>
      <c r="AR88" s="510">
        <v>493.67399999999998</v>
      </c>
      <c r="AS88" s="510">
        <v>470.35500000000002</v>
      </c>
      <c r="AT88" s="510">
        <v>467.23099999999999</v>
      </c>
      <c r="AU88" s="510">
        <v>460.44200000000001</v>
      </c>
      <c r="AV88" s="510">
        <v>455.81400000000002</v>
      </c>
      <c r="AW88" s="510">
        <v>430.101</v>
      </c>
      <c r="AY88" s="510">
        <v>481.834</v>
      </c>
      <c r="AZ88" s="510">
        <v>496.79399999999998</v>
      </c>
      <c r="BA88" s="510">
        <v>497.084</v>
      </c>
      <c r="BB88" s="510">
        <v>484.95499999999998</v>
      </c>
      <c r="BC88" s="510">
        <v>455.50099999999998</v>
      </c>
      <c r="BD88" s="510">
        <v>448.101</v>
      </c>
      <c r="BE88" s="510">
        <v>436.51600000000002</v>
      </c>
      <c r="BF88" s="510">
        <v>425.56099999999998</v>
      </c>
      <c r="BG88" s="510">
        <v>398.59</v>
      </c>
      <c r="BI88" s="477" t="s">
        <v>431</v>
      </c>
    </row>
    <row r="89" spans="1:61" x14ac:dyDescent="0.2">
      <c r="B89" s="475"/>
      <c r="C89" s="472" t="s">
        <v>587</v>
      </c>
      <c r="D89" s="522" t="s">
        <v>588</v>
      </c>
      <c r="E89" s="479" t="s">
        <v>589</v>
      </c>
      <c r="F89" s="509"/>
      <c r="G89" s="510"/>
      <c r="H89" s="510"/>
      <c r="I89" s="510"/>
      <c r="K89" s="510"/>
      <c r="L89" s="510"/>
      <c r="M89" s="510"/>
      <c r="N89" s="510"/>
      <c r="O89" s="510"/>
      <c r="P89" s="510"/>
      <c r="Q89" s="510"/>
      <c r="R89" s="510"/>
      <c r="S89" s="510"/>
      <c r="U89" s="510"/>
      <c r="V89" s="510"/>
      <c r="W89" s="510"/>
      <c r="X89" s="510"/>
      <c r="Y89" s="510"/>
      <c r="Z89" s="510"/>
      <c r="AA89" s="510"/>
      <c r="AB89" s="510"/>
      <c r="AC89" s="510"/>
      <c r="AE89" s="510"/>
      <c r="AF89" s="510"/>
      <c r="AG89" s="510"/>
      <c r="AH89" s="510"/>
      <c r="AI89" s="510"/>
      <c r="AJ89" s="510"/>
      <c r="AK89" s="510"/>
      <c r="AL89" s="510"/>
      <c r="AM89" s="510"/>
      <c r="AO89" s="510"/>
      <c r="AP89" s="510"/>
      <c r="AQ89" s="510"/>
      <c r="AR89" s="510"/>
      <c r="AS89" s="510"/>
      <c r="AT89" s="510"/>
      <c r="AU89" s="510"/>
      <c r="AV89" s="510"/>
      <c r="AW89" s="510"/>
      <c r="AY89" s="510"/>
      <c r="AZ89" s="510"/>
      <c r="BA89" s="510"/>
      <c r="BB89" s="510"/>
      <c r="BC89" s="510"/>
      <c r="BD89" s="510"/>
      <c r="BE89" s="510"/>
      <c r="BF89" s="510"/>
      <c r="BG89" s="510"/>
    </row>
    <row r="90" spans="1:61" x14ac:dyDescent="0.2">
      <c r="B90" s="475" t="s">
        <v>590</v>
      </c>
      <c r="C90" s="472" t="s">
        <v>591</v>
      </c>
      <c r="D90" s="522" t="s">
        <v>592</v>
      </c>
      <c r="E90" s="479" t="s">
        <v>593</v>
      </c>
      <c r="F90" s="509">
        <v>0</v>
      </c>
      <c r="G90" s="510">
        <v>0</v>
      </c>
      <c r="H90" s="510">
        <v>0</v>
      </c>
      <c r="I90" s="510">
        <v>0</v>
      </c>
      <c r="K90" s="510"/>
      <c r="L90" s="510"/>
      <c r="M90" s="510"/>
      <c r="N90" s="510"/>
      <c r="O90" s="510"/>
      <c r="P90" s="510"/>
      <c r="Q90" s="510"/>
      <c r="R90" s="510"/>
      <c r="S90" s="510"/>
      <c r="U90" s="510"/>
      <c r="V90" s="510"/>
      <c r="W90" s="510"/>
      <c r="X90" s="510"/>
      <c r="Y90" s="510"/>
      <c r="Z90" s="510"/>
      <c r="AA90" s="510"/>
      <c r="AB90" s="510"/>
      <c r="AC90" s="510"/>
      <c r="AE90" s="510"/>
      <c r="AF90" s="510"/>
      <c r="AG90" s="510"/>
      <c r="AH90" s="510"/>
      <c r="AI90" s="510"/>
      <c r="AJ90" s="510"/>
      <c r="AK90" s="510"/>
      <c r="AL90" s="510"/>
      <c r="AM90" s="510"/>
      <c r="AO90" s="510"/>
      <c r="AP90" s="510"/>
      <c r="AQ90" s="510"/>
      <c r="AR90" s="510"/>
      <c r="AS90" s="510"/>
      <c r="AT90" s="510"/>
      <c r="AU90" s="510"/>
      <c r="AV90" s="510"/>
      <c r="AW90" s="510"/>
      <c r="AY90" s="510"/>
      <c r="AZ90" s="510"/>
      <c r="BA90" s="510"/>
      <c r="BB90" s="510"/>
      <c r="BC90" s="510"/>
      <c r="BD90" s="510"/>
      <c r="BE90" s="510"/>
      <c r="BF90" s="510"/>
      <c r="BG90" s="510"/>
      <c r="BI90" s="477" t="s">
        <v>431</v>
      </c>
    </row>
    <row r="91" spans="1:61" x14ac:dyDescent="0.2">
      <c r="B91" s="475" t="s">
        <v>594</v>
      </c>
      <c r="C91" s="472" t="s">
        <v>595</v>
      </c>
      <c r="D91" s="522" t="s">
        <v>596</v>
      </c>
      <c r="E91" s="479" t="s">
        <v>559</v>
      </c>
      <c r="F91" s="509">
        <v>481.63459999999998</v>
      </c>
      <c r="G91" s="510">
        <v>504.61291249999999</v>
      </c>
      <c r="H91" s="510">
        <v>498.54202500000002</v>
      </c>
      <c r="I91" s="510">
        <v>509.08123749999999</v>
      </c>
      <c r="K91" s="510">
        <v>481.03399999999999</v>
      </c>
      <c r="L91" s="510">
        <v>486.78500000000003</v>
      </c>
      <c r="M91" s="510">
        <v>479.88299999999998</v>
      </c>
      <c r="N91" s="510">
        <v>483.11200000000002</v>
      </c>
      <c r="O91" s="510">
        <v>474.346</v>
      </c>
      <c r="P91" s="510">
        <v>486.863</v>
      </c>
      <c r="Q91" s="510">
        <v>498.298</v>
      </c>
      <c r="R91" s="510">
        <v>509.37799999999999</v>
      </c>
      <c r="S91" s="510">
        <v>505.49200000000002</v>
      </c>
      <c r="U91" s="510">
        <v>483.22300000000001</v>
      </c>
      <c r="V91" s="510">
        <v>492.029</v>
      </c>
      <c r="W91" s="510">
        <v>493.99299999999999</v>
      </c>
      <c r="X91" s="510">
        <v>484.53699999999998</v>
      </c>
      <c r="Y91" s="510">
        <v>453.48200000000003</v>
      </c>
      <c r="Z91" s="510">
        <v>441.858</v>
      </c>
      <c r="AA91" s="510">
        <v>428.06700000000001</v>
      </c>
      <c r="AB91" s="510">
        <v>416.79</v>
      </c>
      <c r="AC91" s="510">
        <v>391.43599999999998</v>
      </c>
      <c r="AE91" s="510">
        <v>481.03399999999999</v>
      </c>
      <c r="AF91" s="510">
        <v>486.78500000000003</v>
      </c>
      <c r="AG91" s="510">
        <v>479.88299999999998</v>
      </c>
      <c r="AH91" s="510">
        <v>483.11200000000002</v>
      </c>
      <c r="AI91" s="510">
        <v>474.346</v>
      </c>
      <c r="AJ91" s="510">
        <v>486.863</v>
      </c>
      <c r="AK91" s="510">
        <v>498.298</v>
      </c>
      <c r="AL91" s="510">
        <v>509.37799999999999</v>
      </c>
      <c r="AM91" s="510">
        <v>505.49200000000002</v>
      </c>
      <c r="AO91" s="510">
        <v>487.33</v>
      </c>
      <c r="AP91" s="510">
        <v>499.04199999999997</v>
      </c>
      <c r="AQ91" s="510">
        <v>499.23399999999998</v>
      </c>
      <c r="AR91" s="510">
        <v>493.67399999999998</v>
      </c>
      <c r="AS91" s="510">
        <v>470.35500000000002</v>
      </c>
      <c r="AT91" s="510">
        <v>467.23099999999999</v>
      </c>
      <c r="AU91" s="510">
        <v>460.44200000000001</v>
      </c>
      <c r="AV91" s="510">
        <v>455.81400000000002</v>
      </c>
      <c r="AW91" s="510">
        <v>430.101</v>
      </c>
      <c r="AY91" s="510">
        <v>481.834</v>
      </c>
      <c r="AZ91" s="510">
        <v>496.79399999999998</v>
      </c>
      <c r="BA91" s="510">
        <v>497.084</v>
      </c>
      <c r="BB91" s="510">
        <v>484.95499999999998</v>
      </c>
      <c r="BC91" s="510">
        <v>455.50099999999998</v>
      </c>
      <c r="BD91" s="510">
        <v>448.101</v>
      </c>
      <c r="BE91" s="510">
        <v>436.51600000000002</v>
      </c>
      <c r="BF91" s="510">
        <v>425.56099999999998</v>
      </c>
      <c r="BG91" s="510">
        <v>398.59</v>
      </c>
      <c r="BI91" s="477" t="s">
        <v>431</v>
      </c>
    </row>
    <row r="92" spans="1:61" x14ac:dyDescent="0.2">
      <c r="B92" s="475"/>
      <c r="C92" s="472" t="s">
        <v>597</v>
      </c>
      <c r="D92" s="522" t="s">
        <v>598</v>
      </c>
      <c r="E92" s="479" t="s">
        <v>599</v>
      </c>
      <c r="F92" s="509"/>
      <c r="G92" s="510"/>
      <c r="H92" s="510"/>
      <c r="I92" s="510"/>
      <c r="K92" s="510"/>
      <c r="L92" s="510"/>
      <c r="M92" s="510"/>
      <c r="N92" s="510"/>
      <c r="O92" s="510"/>
      <c r="P92" s="510"/>
      <c r="Q92" s="510"/>
      <c r="R92" s="510"/>
      <c r="S92" s="510"/>
      <c r="U92" s="510"/>
      <c r="V92" s="510"/>
      <c r="W92" s="510"/>
      <c r="X92" s="510"/>
      <c r="Y92" s="510"/>
      <c r="Z92" s="510"/>
      <c r="AA92" s="510"/>
      <c r="AB92" s="510"/>
      <c r="AC92" s="510"/>
      <c r="AE92" s="510"/>
      <c r="AF92" s="510"/>
      <c r="AG92" s="510"/>
      <c r="AH92" s="510"/>
      <c r="AI92" s="510"/>
      <c r="AJ92" s="510"/>
      <c r="AK92" s="510"/>
      <c r="AL92" s="510"/>
      <c r="AM92" s="510"/>
      <c r="AO92" s="510"/>
      <c r="AP92" s="510"/>
      <c r="AQ92" s="510"/>
      <c r="AR92" s="510"/>
      <c r="AS92" s="510"/>
      <c r="AT92" s="510"/>
      <c r="AU92" s="510"/>
      <c r="AV92" s="510"/>
      <c r="AW92" s="510"/>
      <c r="AY92" s="510"/>
      <c r="AZ92" s="510"/>
      <c r="BA92" s="510"/>
      <c r="BB92" s="510"/>
      <c r="BC92" s="510"/>
      <c r="BD92" s="510"/>
      <c r="BE92" s="510"/>
      <c r="BF92" s="510"/>
      <c r="BG92" s="510"/>
    </row>
    <row r="93" spans="1:61" x14ac:dyDescent="0.2">
      <c r="B93" s="475"/>
      <c r="D93" s="522" t="s">
        <v>371</v>
      </c>
    </row>
    <row r="94" spans="1:61" x14ac:dyDescent="0.2">
      <c r="B94" s="475"/>
      <c r="D94" s="522" t="s">
        <v>371</v>
      </c>
      <c r="E94" s="503" t="s">
        <v>600</v>
      </c>
    </row>
    <row r="95" spans="1:61" x14ac:dyDescent="0.2">
      <c r="B95" s="475" t="s">
        <v>601</v>
      </c>
      <c r="C95" s="472" t="s">
        <v>602</v>
      </c>
      <c r="D95" s="522" t="s">
        <v>603</v>
      </c>
      <c r="E95" s="479" t="s">
        <v>604</v>
      </c>
      <c r="F95" s="509">
        <v>4100.3046000000004</v>
      </c>
      <c r="G95" s="510">
        <v>4519.1469125000003</v>
      </c>
      <c r="H95" s="510">
        <v>4645.2120249999998</v>
      </c>
      <c r="I95" s="510">
        <v>4727.2722375000003</v>
      </c>
      <c r="K95" s="510">
        <v>5123.5069999999996</v>
      </c>
      <c r="L95" s="510">
        <v>5371.8919999999998</v>
      </c>
      <c r="M95" s="510">
        <v>5612.8739999999998</v>
      </c>
      <c r="N95" s="510">
        <v>5805.277</v>
      </c>
      <c r="O95" s="510">
        <v>6097.6329999999998</v>
      </c>
      <c r="P95" s="510">
        <v>6449.7709999999997</v>
      </c>
      <c r="Q95" s="510">
        <v>6704.05</v>
      </c>
      <c r="R95" s="510">
        <v>6980.2030000000004</v>
      </c>
      <c r="S95" s="510">
        <v>7366.7929999999997</v>
      </c>
      <c r="U95" s="510">
        <v>4512.3379999999997</v>
      </c>
      <c r="V95" s="510">
        <v>4053.1559999999999</v>
      </c>
      <c r="W95" s="510">
        <v>3713.0239999999999</v>
      </c>
      <c r="X95" s="510">
        <v>3447.4430000000002</v>
      </c>
      <c r="Y95" s="510">
        <v>3408.6419999999998</v>
      </c>
      <c r="Z95" s="510">
        <v>3444.8890000000001</v>
      </c>
      <c r="AA95" s="510">
        <v>3221.8209999999999</v>
      </c>
      <c r="AB95" s="510">
        <v>2974.181</v>
      </c>
      <c r="AC95" s="510">
        <v>3025.172</v>
      </c>
      <c r="AE95" s="510">
        <v>5123.5069999999996</v>
      </c>
      <c r="AF95" s="510">
        <v>5371.8919999999998</v>
      </c>
      <c r="AG95" s="510">
        <v>5612.8739999999998</v>
      </c>
      <c r="AH95" s="510">
        <v>5805.277</v>
      </c>
      <c r="AI95" s="510">
        <v>6097.6329999999998</v>
      </c>
      <c r="AJ95" s="510">
        <v>6449.7709999999997</v>
      </c>
      <c r="AK95" s="510">
        <v>6704.05</v>
      </c>
      <c r="AL95" s="510">
        <v>6980.2030000000004</v>
      </c>
      <c r="AM95" s="510">
        <v>7366.7929999999997</v>
      </c>
      <c r="AO95" s="510">
        <v>4683.5519999999997</v>
      </c>
      <c r="AP95" s="510">
        <v>4777.107</v>
      </c>
      <c r="AQ95" s="510">
        <v>4852.0649999999996</v>
      </c>
      <c r="AR95" s="510">
        <v>4923.8969999999999</v>
      </c>
      <c r="AS95" s="510">
        <v>5072.79</v>
      </c>
      <c r="AT95" s="510">
        <v>5245.6139999999996</v>
      </c>
      <c r="AU95" s="510">
        <v>5315.9920000000002</v>
      </c>
      <c r="AV95" s="510">
        <v>5357.8490000000002</v>
      </c>
      <c r="AW95" s="510">
        <v>5619.0690000000004</v>
      </c>
      <c r="AY95" s="510">
        <v>4523.5209999999997</v>
      </c>
      <c r="AZ95" s="510">
        <v>3970.1010000000001</v>
      </c>
      <c r="BA95" s="510">
        <v>3810.364</v>
      </c>
      <c r="BB95" s="510">
        <v>3617.8580000000002</v>
      </c>
      <c r="BC95" s="510">
        <v>3715.7170000000001</v>
      </c>
      <c r="BD95" s="510">
        <v>3746.3670000000002</v>
      </c>
      <c r="BE95" s="510">
        <v>3601.7350000000001</v>
      </c>
      <c r="BF95" s="510">
        <v>3419.2139999999999</v>
      </c>
      <c r="BG95" s="510">
        <v>3494.1579999999999</v>
      </c>
      <c r="BI95" s="477" t="s">
        <v>431</v>
      </c>
    </row>
    <row r="96" spans="1:61" x14ac:dyDescent="0.2">
      <c r="B96" s="475"/>
      <c r="C96" s="472" t="s">
        <v>605</v>
      </c>
      <c r="D96" s="522" t="s">
        <v>606</v>
      </c>
      <c r="E96" s="479" t="s">
        <v>607</v>
      </c>
      <c r="F96" s="509"/>
      <c r="G96" s="510"/>
      <c r="H96" s="510"/>
      <c r="I96" s="510"/>
      <c r="K96" s="510"/>
      <c r="L96" s="510"/>
      <c r="M96" s="510"/>
      <c r="N96" s="510"/>
      <c r="O96" s="510"/>
      <c r="P96" s="510"/>
      <c r="Q96" s="510"/>
      <c r="R96" s="510"/>
      <c r="S96" s="510"/>
      <c r="U96" s="510"/>
      <c r="V96" s="510"/>
      <c r="W96" s="510"/>
      <c r="X96" s="510"/>
      <c r="Y96" s="510"/>
      <c r="Z96" s="510"/>
      <c r="AA96" s="510"/>
      <c r="AB96" s="510"/>
      <c r="AC96" s="510"/>
      <c r="AE96" s="510"/>
      <c r="AF96" s="510"/>
      <c r="AG96" s="510"/>
      <c r="AH96" s="510"/>
      <c r="AI96" s="510"/>
      <c r="AJ96" s="510"/>
      <c r="AK96" s="510"/>
      <c r="AL96" s="510"/>
      <c r="AM96" s="510"/>
      <c r="AO96" s="510"/>
      <c r="AP96" s="510"/>
      <c r="AQ96" s="510"/>
      <c r="AR96" s="510"/>
      <c r="AS96" s="510"/>
      <c r="AT96" s="510"/>
      <c r="AU96" s="510"/>
      <c r="AV96" s="510"/>
      <c r="AW96" s="510"/>
      <c r="AY96" s="510"/>
      <c r="AZ96" s="510"/>
      <c r="BA96" s="510"/>
      <c r="BB96" s="510"/>
      <c r="BC96" s="510"/>
      <c r="BD96" s="510"/>
      <c r="BE96" s="510"/>
      <c r="BF96" s="510"/>
      <c r="BG96" s="510"/>
    </row>
    <row r="97" spans="2:61" x14ac:dyDescent="0.2">
      <c r="B97" s="475"/>
      <c r="D97" s="522" t="s">
        <v>371</v>
      </c>
    </row>
    <row r="98" spans="2:61" x14ac:dyDescent="0.2">
      <c r="B98" s="475"/>
      <c r="D98" s="522" t="s">
        <v>371</v>
      </c>
      <c r="E98" s="503" t="s">
        <v>608</v>
      </c>
    </row>
    <row r="99" spans="2:61" x14ac:dyDescent="0.2">
      <c r="B99" s="475"/>
      <c r="D99" s="522" t="s">
        <v>371</v>
      </c>
      <c r="E99" s="503" t="s">
        <v>609</v>
      </c>
    </row>
    <row r="100" spans="2:61" x14ac:dyDescent="0.2">
      <c r="B100" s="475" t="s">
        <v>610</v>
      </c>
      <c r="C100" s="472" t="s">
        <v>611</v>
      </c>
      <c r="D100" s="522" t="s">
        <v>612</v>
      </c>
      <c r="E100" s="479" t="s">
        <v>613</v>
      </c>
      <c r="F100" s="509"/>
      <c r="G100" s="510"/>
      <c r="H100" s="510"/>
      <c r="I100" s="510"/>
      <c r="K100" s="510"/>
      <c r="L100" s="510"/>
      <c r="M100" s="510"/>
      <c r="N100" s="510"/>
      <c r="O100" s="510"/>
      <c r="P100" s="510"/>
      <c r="Q100" s="510"/>
      <c r="R100" s="510"/>
      <c r="S100" s="510"/>
      <c r="U100" s="510"/>
      <c r="V100" s="510"/>
      <c r="W100" s="510"/>
      <c r="X100" s="510"/>
      <c r="Y100" s="510"/>
      <c r="Z100" s="510"/>
      <c r="AA100" s="510"/>
      <c r="AB100" s="510"/>
      <c r="AC100" s="510"/>
      <c r="AE100" s="510"/>
      <c r="AF100" s="510"/>
      <c r="AG100" s="510"/>
      <c r="AH100" s="510"/>
      <c r="AI100" s="510"/>
      <c r="AJ100" s="510"/>
      <c r="AK100" s="510"/>
      <c r="AL100" s="510"/>
      <c r="AM100" s="510"/>
      <c r="AO100" s="510"/>
      <c r="AP100" s="510"/>
      <c r="AQ100" s="510"/>
      <c r="AR100" s="510"/>
      <c r="AS100" s="510"/>
      <c r="AT100" s="510"/>
      <c r="AU100" s="510"/>
      <c r="AV100" s="510"/>
      <c r="AW100" s="510"/>
      <c r="AY100" s="510"/>
      <c r="AZ100" s="510"/>
      <c r="BA100" s="510"/>
      <c r="BB100" s="510"/>
      <c r="BC100" s="510"/>
      <c r="BD100" s="510"/>
      <c r="BE100" s="510"/>
      <c r="BF100" s="510"/>
      <c r="BG100" s="510"/>
      <c r="BI100" s="477" t="s">
        <v>431</v>
      </c>
    </row>
    <row r="101" spans="2:61" x14ac:dyDescent="0.2">
      <c r="B101" s="475" t="s">
        <v>614</v>
      </c>
      <c r="C101" s="472" t="s">
        <v>615</v>
      </c>
      <c r="D101" s="522" t="s">
        <v>616</v>
      </c>
      <c r="E101" s="479" t="s">
        <v>617</v>
      </c>
      <c r="F101" s="509"/>
      <c r="G101" s="510"/>
      <c r="H101" s="510"/>
      <c r="I101" s="510"/>
      <c r="K101" s="510"/>
      <c r="L101" s="510"/>
      <c r="M101" s="510"/>
      <c r="N101" s="510"/>
      <c r="O101" s="510"/>
      <c r="P101" s="510"/>
      <c r="Q101" s="510"/>
      <c r="R101" s="510"/>
      <c r="S101" s="510"/>
      <c r="U101" s="510"/>
      <c r="V101" s="510"/>
      <c r="W101" s="510"/>
      <c r="X101" s="510"/>
      <c r="Y101" s="510"/>
      <c r="Z101" s="510"/>
      <c r="AA101" s="510"/>
      <c r="AB101" s="510"/>
      <c r="AC101" s="510"/>
      <c r="AE101" s="510"/>
      <c r="AF101" s="510"/>
      <c r="AG101" s="510"/>
      <c r="AH101" s="510"/>
      <c r="AI101" s="510"/>
      <c r="AJ101" s="510"/>
      <c r="AK101" s="510"/>
      <c r="AL101" s="510"/>
      <c r="AM101" s="510"/>
      <c r="AO101" s="510"/>
      <c r="AP101" s="510"/>
      <c r="AQ101" s="510"/>
      <c r="AR101" s="510"/>
      <c r="AS101" s="510"/>
      <c r="AT101" s="510"/>
      <c r="AU101" s="510"/>
      <c r="AV101" s="510"/>
      <c r="AW101" s="510"/>
      <c r="AY101" s="510"/>
      <c r="AZ101" s="510"/>
      <c r="BA101" s="510"/>
      <c r="BB101" s="510"/>
      <c r="BC101" s="510"/>
      <c r="BD101" s="510"/>
      <c r="BE101" s="510"/>
      <c r="BF101" s="510"/>
      <c r="BG101" s="510"/>
      <c r="BI101" s="477" t="s">
        <v>431</v>
      </c>
    </row>
    <row r="102" spans="2:61" x14ac:dyDescent="0.2">
      <c r="B102" s="475" t="s">
        <v>618</v>
      </c>
      <c r="C102" s="472" t="s">
        <v>619</v>
      </c>
      <c r="D102" s="522" t="s">
        <v>620</v>
      </c>
      <c r="E102" s="479" t="s">
        <v>621</v>
      </c>
      <c r="F102" s="509">
        <v>0</v>
      </c>
      <c r="G102" s="510">
        <v>0</v>
      </c>
      <c r="H102" s="510">
        <v>0</v>
      </c>
      <c r="I102" s="510">
        <v>0</v>
      </c>
      <c r="K102" s="510">
        <v>0</v>
      </c>
      <c r="L102" s="510">
        <v>0</v>
      </c>
      <c r="M102" s="510">
        <v>0</v>
      </c>
      <c r="N102" s="510">
        <v>0</v>
      </c>
      <c r="O102" s="510">
        <v>0</v>
      </c>
      <c r="P102" s="510">
        <v>0</v>
      </c>
      <c r="Q102" s="510">
        <v>0</v>
      </c>
      <c r="R102" s="510">
        <v>0</v>
      </c>
      <c r="S102" s="510">
        <v>0</v>
      </c>
      <c r="U102" s="510">
        <v>0</v>
      </c>
      <c r="V102" s="510">
        <v>0</v>
      </c>
      <c r="W102" s="510">
        <v>0</v>
      </c>
      <c r="X102" s="510">
        <v>0</v>
      </c>
      <c r="Y102" s="510">
        <v>0</v>
      </c>
      <c r="Z102" s="510">
        <v>0</v>
      </c>
      <c r="AA102" s="510">
        <v>0</v>
      </c>
      <c r="AB102" s="510">
        <v>0</v>
      </c>
      <c r="AC102" s="510">
        <v>0</v>
      </c>
      <c r="AE102" s="510">
        <v>0</v>
      </c>
      <c r="AF102" s="510">
        <v>0</v>
      </c>
      <c r="AG102" s="510">
        <v>0</v>
      </c>
      <c r="AH102" s="510">
        <v>0</v>
      </c>
      <c r="AI102" s="510">
        <v>0</v>
      </c>
      <c r="AJ102" s="510">
        <v>0</v>
      </c>
      <c r="AK102" s="510">
        <v>0</v>
      </c>
      <c r="AL102" s="510">
        <v>0</v>
      </c>
      <c r="AM102" s="510">
        <v>0</v>
      </c>
      <c r="AO102" s="510">
        <v>0</v>
      </c>
      <c r="AP102" s="510">
        <v>0</v>
      </c>
      <c r="AQ102" s="510">
        <v>0</v>
      </c>
      <c r="AR102" s="510">
        <v>0</v>
      </c>
      <c r="AS102" s="510">
        <v>0</v>
      </c>
      <c r="AT102" s="510">
        <v>0</v>
      </c>
      <c r="AU102" s="510">
        <v>0</v>
      </c>
      <c r="AV102" s="510">
        <v>0</v>
      </c>
      <c r="AW102" s="510">
        <v>0</v>
      </c>
      <c r="AY102" s="510">
        <v>0</v>
      </c>
      <c r="AZ102" s="510">
        <v>0</v>
      </c>
      <c r="BA102" s="510">
        <v>0</v>
      </c>
      <c r="BB102" s="510">
        <v>0</v>
      </c>
      <c r="BC102" s="510">
        <v>0</v>
      </c>
      <c r="BD102" s="510">
        <v>0</v>
      </c>
      <c r="BE102" s="510">
        <v>0</v>
      </c>
      <c r="BF102" s="510">
        <v>0</v>
      </c>
      <c r="BG102" s="510">
        <v>0</v>
      </c>
      <c r="BI102" s="477" t="s">
        <v>431</v>
      </c>
    </row>
    <row r="103" spans="2:61" x14ac:dyDescent="0.2">
      <c r="B103" s="475" t="s">
        <v>622</v>
      </c>
      <c r="C103" s="472" t="s">
        <v>623</v>
      </c>
      <c r="D103" s="522" t="s">
        <v>624</v>
      </c>
      <c r="E103" s="479" t="s">
        <v>625</v>
      </c>
      <c r="F103" s="509">
        <v>361.86700000000002</v>
      </c>
      <c r="G103" s="510">
        <v>401.45339999999999</v>
      </c>
      <c r="H103" s="510">
        <v>414.66699999999997</v>
      </c>
      <c r="I103" s="510">
        <v>421.81909999999999</v>
      </c>
      <c r="K103" s="510">
        <v>464.24700000000001</v>
      </c>
      <c r="L103" s="510">
        <v>488.51100000000002</v>
      </c>
      <c r="M103" s="510">
        <v>513.29899999999998</v>
      </c>
      <c r="N103" s="510">
        <v>532.21699999999998</v>
      </c>
      <c r="O103" s="510">
        <v>562.32899999999995</v>
      </c>
      <c r="P103" s="510">
        <v>596.29100000000005</v>
      </c>
      <c r="Q103" s="510">
        <v>620.57500000000005</v>
      </c>
      <c r="R103" s="510">
        <v>647.08299999999997</v>
      </c>
      <c r="S103" s="510">
        <v>686.13</v>
      </c>
      <c r="U103" s="510">
        <v>402.91199999999998</v>
      </c>
      <c r="V103" s="510">
        <v>356.113</v>
      </c>
      <c r="W103" s="510">
        <v>321.90300000000002</v>
      </c>
      <c r="X103" s="510">
        <v>296.291</v>
      </c>
      <c r="Y103" s="510">
        <v>295.51600000000002</v>
      </c>
      <c r="Z103" s="510">
        <v>300.303</v>
      </c>
      <c r="AA103" s="510">
        <v>279.375</v>
      </c>
      <c r="AB103" s="510">
        <v>255.739</v>
      </c>
      <c r="AC103" s="510">
        <v>263.37400000000002</v>
      </c>
      <c r="AE103" s="510">
        <v>464.24700000000001</v>
      </c>
      <c r="AF103" s="510">
        <v>488.51100000000002</v>
      </c>
      <c r="AG103" s="510">
        <v>513.29899999999998</v>
      </c>
      <c r="AH103" s="510">
        <v>532.21699999999998</v>
      </c>
      <c r="AI103" s="510">
        <v>562.32899999999995</v>
      </c>
      <c r="AJ103" s="510">
        <v>596.29100000000005</v>
      </c>
      <c r="AK103" s="510">
        <v>620.57500000000005</v>
      </c>
      <c r="AL103" s="510">
        <v>647.08299999999997</v>
      </c>
      <c r="AM103" s="510">
        <v>686.13</v>
      </c>
      <c r="AO103" s="510">
        <v>419.62200000000001</v>
      </c>
      <c r="AP103" s="510">
        <v>427.80700000000002</v>
      </c>
      <c r="AQ103" s="510">
        <v>435.28300000000002</v>
      </c>
      <c r="AR103" s="510">
        <v>443.02199999999999</v>
      </c>
      <c r="AS103" s="510">
        <v>460.24400000000003</v>
      </c>
      <c r="AT103" s="510">
        <v>477.83800000000002</v>
      </c>
      <c r="AU103" s="510">
        <v>485.55500000000001</v>
      </c>
      <c r="AV103" s="510">
        <v>490.20400000000001</v>
      </c>
      <c r="AW103" s="510">
        <v>518.89700000000005</v>
      </c>
      <c r="AY103" s="510">
        <v>404.16899999999998</v>
      </c>
      <c r="AZ103" s="510">
        <v>347.33100000000002</v>
      </c>
      <c r="BA103" s="510">
        <v>331.32799999999997</v>
      </c>
      <c r="BB103" s="510">
        <v>313.29000000000002</v>
      </c>
      <c r="BC103" s="510">
        <v>326.02199999999999</v>
      </c>
      <c r="BD103" s="510">
        <v>329.827</v>
      </c>
      <c r="BE103" s="510">
        <v>316.52199999999999</v>
      </c>
      <c r="BF103" s="510">
        <v>299.36500000000001</v>
      </c>
      <c r="BG103" s="510">
        <v>309.55700000000002</v>
      </c>
      <c r="BI103" s="477" t="s">
        <v>431</v>
      </c>
    </row>
    <row r="104" spans="2:61" x14ac:dyDescent="0.2">
      <c r="B104" s="475" t="s">
        <v>503</v>
      </c>
      <c r="C104" s="472" t="s">
        <v>626</v>
      </c>
      <c r="D104" s="522" t="s">
        <v>627</v>
      </c>
      <c r="E104" s="479" t="s">
        <v>628</v>
      </c>
      <c r="F104" s="509">
        <v>0</v>
      </c>
      <c r="G104" s="510">
        <v>0</v>
      </c>
      <c r="H104" s="510">
        <v>0</v>
      </c>
      <c r="I104" s="510">
        <v>0</v>
      </c>
      <c r="K104" s="510">
        <v>0</v>
      </c>
      <c r="L104" s="510">
        <v>0</v>
      </c>
      <c r="M104" s="510">
        <v>0</v>
      </c>
      <c r="N104" s="510">
        <v>0</v>
      </c>
      <c r="O104" s="510">
        <v>0</v>
      </c>
      <c r="P104" s="510">
        <v>0</v>
      </c>
      <c r="Q104" s="510">
        <v>0</v>
      </c>
      <c r="R104" s="510">
        <v>0</v>
      </c>
      <c r="S104" s="510">
        <v>0</v>
      </c>
      <c r="U104" s="510">
        <v>0</v>
      </c>
      <c r="V104" s="510">
        <v>0</v>
      </c>
      <c r="W104" s="510">
        <v>0</v>
      </c>
      <c r="X104" s="510">
        <v>0</v>
      </c>
      <c r="Y104" s="510">
        <v>0</v>
      </c>
      <c r="Z104" s="510">
        <v>0</v>
      </c>
      <c r="AA104" s="510">
        <v>0</v>
      </c>
      <c r="AB104" s="510">
        <v>0</v>
      </c>
      <c r="AC104" s="510">
        <v>0</v>
      </c>
      <c r="AE104" s="510">
        <v>0</v>
      </c>
      <c r="AF104" s="510">
        <v>0</v>
      </c>
      <c r="AG104" s="510">
        <v>0</v>
      </c>
      <c r="AH104" s="510">
        <v>0</v>
      </c>
      <c r="AI104" s="510">
        <v>0</v>
      </c>
      <c r="AJ104" s="510">
        <v>0</v>
      </c>
      <c r="AK104" s="510">
        <v>0</v>
      </c>
      <c r="AL104" s="510">
        <v>0</v>
      </c>
      <c r="AM104" s="510">
        <v>0</v>
      </c>
      <c r="AO104" s="510">
        <v>0</v>
      </c>
      <c r="AP104" s="510">
        <v>0</v>
      </c>
      <c r="AQ104" s="510">
        <v>0</v>
      </c>
      <c r="AR104" s="510">
        <v>0</v>
      </c>
      <c r="AS104" s="510">
        <v>0</v>
      </c>
      <c r="AT104" s="510">
        <v>0</v>
      </c>
      <c r="AU104" s="510">
        <v>0</v>
      </c>
      <c r="AV104" s="510">
        <v>0</v>
      </c>
      <c r="AW104" s="510">
        <v>0</v>
      </c>
      <c r="AY104" s="510">
        <v>0</v>
      </c>
      <c r="AZ104" s="510">
        <v>0</v>
      </c>
      <c r="BA104" s="510">
        <v>0</v>
      </c>
      <c r="BB104" s="510">
        <v>0</v>
      </c>
      <c r="BC104" s="510">
        <v>0</v>
      </c>
      <c r="BD104" s="510">
        <v>0</v>
      </c>
      <c r="BE104" s="510">
        <v>0</v>
      </c>
      <c r="BF104" s="510">
        <v>0</v>
      </c>
      <c r="BG104" s="510">
        <v>0</v>
      </c>
      <c r="BI104" s="477" t="s">
        <v>431</v>
      </c>
    </row>
    <row r="105" spans="2:61" x14ac:dyDescent="0.2">
      <c r="B105" s="475"/>
      <c r="D105" s="522" t="s">
        <v>371</v>
      </c>
    </row>
    <row r="106" spans="2:61" x14ac:dyDescent="0.2">
      <c r="B106" s="475"/>
      <c r="D106" s="522" t="s">
        <v>371</v>
      </c>
      <c r="E106" s="503" t="s">
        <v>629</v>
      </c>
    </row>
    <row r="107" spans="2:61" x14ac:dyDescent="0.2">
      <c r="B107" s="475" t="s">
        <v>630</v>
      </c>
      <c r="C107" s="472" t="s">
        <v>631</v>
      </c>
      <c r="D107" s="522" t="s">
        <v>632</v>
      </c>
      <c r="E107" s="479" t="s">
        <v>633</v>
      </c>
      <c r="F107" s="509"/>
      <c r="G107" s="510"/>
      <c r="H107" s="510"/>
      <c r="I107" s="510"/>
      <c r="K107" s="510"/>
      <c r="L107" s="510"/>
      <c r="M107" s="510"/>
      <c r="N107" s="510"/>
      <c r="O107" s="510"/>
      <c r="P107" s="510"/>
      <c r="Q107" s="510"/>
      <c r="R107" s="510"/>
      <c r="S107" s="510"/>
      <c r="U107" s="510"/>
      <c r="V107" s="510"/>
      <c r="W107" s="510"/>
      <c r="X107" s="510"/>
      <c r="Y107" s="510"/>
      <c r="Z107" s="510"/>
      <c r="AA107" s="510"/>
      <c r="AB107" s="510"/>
      <c r="AC107" s="510"/>
      <c r="AE107" s="510"/>
      <c r="AF107" s="510"/>
      <c r="AG107" s="510"/>
      <c r="AH107" s="510"/>
      <c r="AI107" s="510"/>
      <c r="AJ107" s="510"/>
      <c r="AK107" s="510"/>
      <c r="AL107" s="510"/>
      <c r="AM107" s="510"/>
      <c r="AO107" s="510"/>
      <c r="AP107" s="510"/>
      <c r="AQ107" s="510"/>
      <c r="AR107" s="510"/>
      <c r="AS107" s="510"/>
      <c r="AT107" s="510"/>
      <c r="AU107" s="510"/>
      <c r="AV107" s="510"/>
      <c r="AW107" s="510"/>
      <c r="AY107" s="510"/>
      <c r="AZ107" s="510"/>
      <c r="BA107" s="510"/>
      <c r="BB107" s="510"/>
      <c r="BC107" s="510"/>
      <c r="BD107" s="510"/>
      <c r="BE107" s="510"/>
      <c r="BF107" s="510"/>
      <c r="BG107" s="510"/>
      <c r="BI107" s="477" t="s">
        <v>431</v>
      </c>
    </row>
    <row r="108" spans="2:61" x14ac:dyDescent="0.2">
      <c r="B108" s="475" t="s">
        <v>634</v>
      </c>
      <c r="C108" s="472" t="s">
        <v>635</v>
      </c>
      <c r="D108" s="522" t="s">
        <v>636</v>
      </c>
      <c r="E108" s="479" t="s">
        <v>637</v>
      </c>
      <c r="F108" s="509"/>
      <c r="G108" s="510"/>
      <c r="H108" s="510"/>
      <c r="I108" s="510"/>
      <c r="K108" s="510"/>
      <c r="L108" s="510"/>
      <c r="M108" s="510"/>
      <c r="N108" s="510"/>
      <c r="O108" s="510"/>
      <c r="P108" s="510"/>
      <c r="Q108" s="510"/>
      <c r="R108" s="510"/>
      <c r="S108" s="510"/>
      <c r="U108" s="510"/>
      <c r="V108" s="510"/>
      <c r="W108" s="510"/>
      <c r="X108" s="510"/>
      <c r="Y108" s="510"/>
      <c r="Z108" s="510"/>
      <c r="AA108" s="510"/>
      <c r="AB108" s="510"/>
      <c r="AC108" s="510"/>
      <c r="AE108" s="510"/>
      <c r="AF108" s="510"/>
      <c r="AG108" s="510"/>
      <c r="AH108" s="510"/>
      <c r="AI108" s="510"/>
      <c r="AJ108" s="510"/>
      <c r="AK108" s="510"/>
      <c r="AL108" s="510"/>
      <c r="AM108" s="510"/>
      <c r="AO108" s="510"/>
      <c r="AP108" s="510"/>
      <c r="AQ108" s="510"/>
      <c r="AR108" s="510"/>
      <c r="AS108" s="510"/>
      <c r="AT108" s="510"/>
      <c r="AU108" s="510"/>
      <c r="AV108" s="510"/>
      <c r="AW108" s="510"/>
      <c r="AY108" s="510"/>
      <c r="AZ108" s="510"/>
      <c r="BA108" s="510"/>
      <c r="BB108" s="510"/>
      <c r="BC108" s="510"/>
      <c r="BD108" s="510"/>
      <c r="BE108" s="510"/>
      <c r="BF108" s="510"/>
      <c r="BG108" s="510"/>
      <c r="BI108" s="477" t="s">
        <v>431</v>
      </c>
    </row>
    <row r="109" spans="2:61" x14ac:dyDescent="0.2">
      <c r="B109" s="475" t="s">
        <v>638</v>
      </c>
      <c r="C109" s="472" t="s">
        <v>639</v>
      </c>
      <c r="D109" s="522" t="s">
        <v>640</v>
      </c>
      <c r="E109" s="479" t="s">
        <v>641</v>
      </c>
      <c r="F109" s="509">
        <v>0</v>
      </c>
      <c r="G109" s="510">
        <v>0</v>
      </c>
      <c r="H109" s="510">
        <v>0</v>
      </c>
      <c r="I109" s="510">
        <v>0</v>
      </c>
      <c r="K109" s="510">
        <v>0</v>
      </c>
      <c r="L109" s="510">
        <v>0</v>
      </c>
      <c r="M109" s="510">
        <v>0</v>
      </c>
      <c r="N109" s="510">
        <v>0</v>
      </c>
      <c r="O109" s="510">
        <v>0</v>
      </c>
      <c r="P109" s="510">
        <v>0</v>
      </c>
      <c r="Q109" s="510">
        <v>0</v>
      </c>
      <c r="R109" s="510">
        <v>0</v>
      </c>
      <c r="S109" s="510">
        <v>0</v>
      </c>
      <c r="U109" s="510">
        <v>0</v>
      </c>
      <c r="V109" s="510">
        <v>0</v>
      </c>
      <c r="W109" s="510">
        <v>0</v>
      </c>
      <c r="X109" s="510">
        <v>0</v>
      </c>
      <c r="Y109" s="510">
        <v>0</v>
      </c>
      <c r="Z109" s="510">
        <v>0</v>
      </c>
      <c r="AA109" s="510">
        <v>0</v>
      </c>
      <c r="AB109" s="510">
        <v>0</v>
      </c>
      <c r="AC109" s="510">
        <v>0</v>
      </c>
      <c r="AE109" s="510">
        <v>0</v>
      </c>
      <c r="AF109" s="510">
        <v>0</v>
      </c>
      <c r="AG109" s="510">
        <v>0</v>
      </c>
      <c r="AH109" s="510">
        <v>0</v>
      </c>
      <c r="AI109" s="510">
        <v>0</v>
      </c>
      <c r="AJ109" s="510">
        <v>0</v>
      </c>
      <c r="AK109" s="510">
        <v>0</v>
      </c>
      <c r="AL109" s="510">
        <v>0</v>
      </c>
      <c r="AM109" s="510">
        <v>0</v>
      </c>
      <c r="AO109" s="510">
        <v>0</v>
      </c>
      <c r="AP109" s="510">
        <v>0</v>
      </c>
      <c r="AQ109" s="510">
        <v>0</v>
      </c>
      <c r="AR109" s="510">
        <v>0</v>
      </c>
      <c r="AS109" s="510">
        <v>0</v>
      </c>
      <c r="AT109" s="510">
        <v>0</v>
      </c>
      <c r="AU109" s="510">
        <v>0</v>
      </c>
      <c r="AV109" s="510">
        <v>0</v>
      </c>
      <c r="AW109" s="510">
        <v>0</v>
      </c>
      <c r="AY109" s="510">
        <v>0</v>
      </c>
      <c r="AZ109" s="510">
        <v>0</v>
      </c>
      <c r="BA109" s="510">
        <v>0</v>
      </c>
      <c r="BB109" s="510">
        <v>0</v>
      </c>
      <c r="BC109" s="510">
        <v>0</v>
      </c>
      <c r="BD109" s="510">
        <v>0</v>
      </c>
      <c r="BE109" s="510">
        <v>0</v>
      </c>
      <c r="BF109" s="510">
        <v>0</v>
      </c>
      <c r="BG109" s="510">
        <v>0</v>
      </c>
      <c r="BI109" s="477" t="s">
        <v>431</v>
      </c>
    </row>
    <row r="110" spans="2:61" x14ac:dyDescent="0.2">
      <c r="B110" s="475" t="s">
        <v>622</v>
      </c>
      <c r="C110" s="472" t="s">
        <v>623</v>
      </c>
      <c r="D110" s="522" t="s">
        <v>642</v>
      </c>
      <c r="E110" s="479" t="s">
        <v>625</v>
      </c>
      <c r="F110" s="509">
        <v>361.86700000000002</v>
      </c>
      <c r="G110" s="510">
        <v>401.45339999999999</v>
      </c>
      <c r="H110" s="510">
        <v>414.66699999999997</v>
      </c>
      <c r="I110" s="510">
        <v>421.81909999999999</v>
      </c>
      <c r="K110" s="510">
        <v>464.24700000000001</v>
      </c>
      <c r="L110" s="510">
        <v>488.51100000000002</v>
      </c>
      <c r="M110" s="510">
        <v>513.29899999999998</v>
      </c>
      <c r="N110" s="510">
        <v>532.21699999999998</v>
      </c>
      <c r="O110" s="510">
        <v>562.32899999999995</v>
      </c>
      <c r="P110" s="510">
        <v>596.29100000000005</v>
      </c>
      <c r="Q110" s="510">
        <v>620.57500000000005</v>
      </c>
      <c r="R110" s="510">
        <v>647.08299999999997</v>
      </c>
      <c r="S110" s="510">
        <v>686.13</v>
      </c>
      <c r="U110" s="510">
        <v>402.91199999999998</v>
      </c>
      <c r="V110" s="510">
        <v>356.113</v>
      </c>
      <c r="W110" s="510">
        <v>321.90300000000002</v>
      </c>
      <c r="X110" s="510">
        <v>296.291</v>
      </c>
      <c r="Y110" s="510">
        <v>295.51600000000002</v>
      </c>
      <c r="Z110" s="510">
        <v>300.303</v>
      </c>
      <c r="AA110" s="510">
        <v>279.375</v>
      </c>
      <c r="AB110" s="510">
        <v>255.739</v>
      </c>
      <c r="AC110" s="510">
        <v>263.37400000000002</v>
      </c>
      <c r="AE110" s="510">
        <v>464.24700000000001</v>
      </c>
      <c r="AF110" s="510">
        <v>488.51100000000002</v>
      </c>
      <c r="AG110" s="510">
        <v>513.29899999999998</v>
      </c>
      <c r="AH110" s="510">
        <v>532.21699999999998</v>
      </c>
      <c r="AI110" s="510">
        <v>562.32899999999995</v>
      </c>
      <c r="AJ110" s="510">
        <v>596.29100000000005</v>
      </c>
      <c r="AK110" s="510">
        <v>620.57500000000005</v>
      </c>
      <c r="AL110" s="510">
        <v>647.08299999999997</v>
      </c>
      <c r="AM110" s="510">
        <v>686.13</v>
      </c>
      <c r="AO110" s="510">
        <v>419.62200000000001</v>
      </c>
      <c r="AP110" s="510">
        <v>427.80700000000002</v>
      </c>
      <c r="AQ110" s="510">
        <v>435.28300000000002</v>
      </c>
      <c r="AR110" s="510">
        <v>443.02199999999999</v>
      </c>
      <c r="AS110" s="510">
        <v>460.24400000000003</v>
      </c>
      <c r="AT110" s="510">
        <v>477.83800000000002</v>
      </c>
      <c r="AU110" s="510">
        <v>485.55500000000001</v>
      </c>
      <c r="AV110" s="510">
        <v>490.20400000000001</v>
      </c>
      <c r="AW110" s="510">
        <v>518.89700000000005</v>
      </c>
      <c r="AY110" s="510">
        <v>404.16899999999998</v>
      </c>
      <c r="AZ110" s="510">
        <v>347.33100000000002</v>
      </c>
      <c r="BA110" s="510">
        <v>331.32799999999997</v>
      </c>
      <c r="BB110" s="510">
        <v>313.29000000000002</v>
      </c>
      <c r="BC110" s="510">
        <v>326.02199999999999</v>
      </c>
      <c r="BD110" s="510">
        <v>329.827</v>
      </c>
      <c r="BE110" s="510">
        <v>316.52199999999999</v>
      </c>
      <c r="BF110" s="510">
        <v>299.36500000000001</v>
      </c>
      <c r="BG110" s="510">
        <v>309.55700000000002</v>
      </c>
      <c r="BI110" s="477" t="s">
        <v>431</v>
      </c>
    </row>
    <row r="111" spans="2:61" x14ac:dyDescent="0.2">
      <c r="B111" s="475" t="s">
        <v>507</v>
      </c>
      <c r="C111" s="472" t="s">
        <v>643</v>
      </c>
      <c r="D111" s="522" t="s">
        <v>644</v>
      </c>
      <c r="E111" s="479" t="s">
        <v>645</v>
      </c>
      <c r="F111" s="509">
        <v>0</v>
      </c>
      <c r="G111" s="510">
        <v>0</v>
      </c>
      <c r="H111" s="510">
        <v>0</v>
      </c>
      <c r="I111" s="510">
        <v>0</v>
      </c>
      <c r="K111" s="510">
        <v>0</v>
      </c>
      <c r="L111" s="510">
        <v>0</v>
      </c>
      <c r="M111" s="510">
        <v>0</v>
      </c>
      <c r="N111" s="510">
        <v>0</v>
      </c>
      <c r="O111" s="510">
        <v>0</v>
      </c>
      <c r="P111" s="510">
        <v>0</v>
      </c>
      <c r="Q111" s="510">
        <v>0</v>
      </c>
      <c r="R111" s="510">
        <v>0</v>
      </c>
      <c r="S111" s="510">
        <v>0</v>
      </c>
      <c r="U111" s="510">
        <v>0</v>
      </c>
      <c r="V111" s="510">
        <v>0</v>
      </c>
      <c r="W111" s="510">
        <v>0</v>
      </c>
      <c r="X111" s="510">
        <v>0</v>
      </c>
      <c r="Y111" s="510">
        <v>0</v>
      </c>
      <c r="Z111" s="510">
        <v>0</v>
      </c>
      <c r="AA111" s="510">
        <v>0</v>
      </c>
      <c r="AB111" s="510">
        <v>0</v>
      </c>
      <c r="AC111" s="510">
        <v>0</v>
      </c>
      <c r="AE111" s="510">
        <v>0</v>
      </c>
      <c r="AF111" s="510">
        <v>0</v>
      </c>
      <c r="AG111" s="510">
        <v>0</v>
      </c>
      <c r="AH111" s="510">
        <v>0</v>
      </c>
      <c r="AI111" s="510">
        <v>0</v>
      </c>
      <c r="AJ111" s="510">
        <v>0</v>
      </c>
      <c r="AK111" s="510">
        <v>0</v>
      </c>
      <c r="AL111" s="510">
        <v>0</v>
      </c>
      <c r="AM111" s="510">
        <v>0</v>
      </c>
      <c r="AO111" s="510">
        <v>0</v>
      </c>
      <c r="AP111" s="510">
        <v>0</v>
      </c>
      <c r="AQ111" s="510">
        <v>0</v>
      </c>
      <c r="AR111" s="510">
        <v>0</v>
      </c>
      <c r="AS111" s="510">
        <v>0</v>
      </c>
      <c r="AT111" s="510">
        <v>0</v>
      </c>
      <c r="AU111" s="510">
        <v>0</v>
      </c>
      <c r="AV111" s="510">
        <v>0</v>
      </c>
      <c r="AW111" s="510">
        <v>0</v>
      </c>
      <c r="AY111" s="510">
        <v>0</v>
      </c>
      <c r="AZ111" s="510">
        <v>0</v>
      </c>
      <c r="BA111" s="510">
        <v>0</v>
      </c>
      <c r="BB111" s="510">
        <v>0</v>
      </c>
      <c r="BC111" s="510">
        <v>0</v>
      </c>
      <c r="BD111" s="510">
        <v>0</v>
      </c>
      <c r="BE111" s="510">
        <v>0</v>
      </c>
      <c r="BF111" s="510">
        <v>0</v>
      </c>
      <c r="BG111" s="510">
        <v>0</v>
      </c>
      <c r="BI111" s="477" t="s">
        <v>431</v>
      </c>
    </row>
    <row r="112" spans="2:61" x14ac:dyDescent="0.2">
      <c r="B112" s="475"/>
      <c r="D112" s="522" t="s">
        <v>371</v>
      </c>
    </row>
    <row r="113" spans="2:61" x14ac:dyDescent="0.2">
      <c r="B113" s="475"/>
      <c r="D113" s="522" t="s">
        <v>371</v>
      </c>
      <c r="E113" s="503" t="s">
        <v>646</v>
      </c>
    </row>
    <row r="114" spans="2:61" x14ac:dyDescent="0.2">
      <c r="B114" s="475" t="s">
        <v>647</v>
      </c>
      <c r="C114" s="472" t="s">
        <v>648</v>
      </c>
      <c r="D114" s="522" t="s">
        <v>649</v>
      </c>
      <c r="E114" s="479" t="s">
        <v>646</v>
      </c>
      <c r="F114" s="509"/>
      <c r="G114" s="510"/>
      <c r="H114" s="510"/>
      <c r="I114" s="510"/>
      <c r="K114" s="510"/>
      <c r="L114" s="510"/>
      <c r="M114" s="510"/>
      <c r="N114" s="510"/>
      <c r="O114" s="510"/>
      <c r="P114" s="510"/>
      <c r="Q114" s="510"/>
      <c r="R114" s="510"/>
      <c r="S114" s="510"/>
      <c r="U114" s="510"/>
      <c r="V114" s="510"/>
      <c r="W114" s="510"/>
      <c r="X114" s="510"/>
      <c r="Y114" s="510"/>
      <c r="Z114" s="510"/>
      <c r="AA114" s="510">
        <v>70.531999999999996</v>
      </c>
      <c r="AB114" s="510">
        <v>153.11099999999999</v>
      </c>
      <c r="AC114" s="510">
        <v>143.81700000000001</v>
      </c>
      <c r="AE114" s="510"/>
      <c r="AF114" s="510"/>
      <c r="AG114" s="510"/>
      <c r="AH114" s="510"/>
      <c r="AI114" s="510"/>
      <c r="AJ114" s="510"/>
      <c r="AK114" s="510"/>
      <c r="AL114" s="510"/>
      <c r="AM114" s="510"/>
      <c r="AO114" s="510"/>
      <c r="AP114" s="510"/>
      <c r="AQ114" s="510"/>
      <c r="AR114" s="510"/>
      <c r="AS114" s="510"/>
      <c r="AT114" s="510"/>
      <c r="AU114" s="510"/>
      <c r="AV114" s="510"/>
      <c r="AW114" s="510"/>
      <c r="AY114" s="510"/>
      <c r="AZ114" s="510"/>
      <c r="BA114" s="510"/>
      <c r="BB114" s="510"/>
      <c r="BC114" s="510"/>
      <c r="BD114" s="510"/>
      <c r="BE114" s="510"/>
      <c r="BF114" s="510">
        <v>3.9809999999999999</v>
      </c>
      <c r="BG114" s="510"/>
      <c r="BI114" s="477" t="s">
        <v>431</v>
      </c>
    </row>
    <row r="115" spans="2:61" x14ac:dyDescent="0.2">
      <c r="B115" s="475" t="s">
        <v>622</v>
      </c>
      <c r="C115" s="472" t="s">
        <v>623</v>
      </c>
      <c r="D115" s="522" t="s">
        <v>650</v>
      </c>
      <c r="E115" s="479" t="s">
        <v>625</v>
      </c>
      <c r="F115" s="509">
        <v>361.86700000000002</v>
      </c>
      <c r="G115" s="510">
        <v>401.45339999999999</v>
      </c>
      <c r="H115" s="510">
        <v>414.66699999999997</v>
      </c>
      <c r="I115" s="510">
        <v>421.81909999999999</v>
      </c>
      <c r="K115" s="510">
        <v>464.24700000000001</v>
      </c>
      <c r="L115" s="510">
        <v>488.51100000000002</v>
      </c>
      <c r="M115" s="510">
        <v>513.29899999999998</v>
      </c>
      <c r="N115" s="510">
        <v>532.21699999999998</v>
      </c>
      <c r="O115" s="510">
        <v>562.32899999999995</v>
      </c>
      <c r="P115" s="510">
        <v>596.29100000000005</v>
      </c>
      <c r="Q115" s="510">
        <v>620.57500000000005</v>
      </c>
      <c r="R115" s="510">
        <v>647.08299999999997</v>
      </c>
      <c r="S115" s="510">
        <v>686.13</v>
      </c>
      <c r="U115" s="510">
        <v>402.91199999999998</v>
      </c>
      <c r="V115" s="510">
        <v>356.113</v>
      </c>
      <c r="W115" s="510">
        <v>321.90300000000002</v>
      </c>
      <c r="X115" s="510">
        <v>296.291</v>
      </c>
      <c r="Y115" s="510">
        <v>295.51600000000002</v>
      </c>
      <c r="Z115" s="510">
        <v>300.303</v>
      </c>
      <c r="AA115" s="510">
        <v>279.375</v>
      </c>
      <c r="AB115" s="510">
        <v>255.739</v>
      </c>
      <c r="AC115" s="510">
        <v>263.37400000000002</v>
      </c>
      <c r="AE115" s="510">
        <v>464.24700000000001</v>
      </c>
      <c r="AF115" s="510">
        <v>488.51100000000002</v>
      </c>
      <c r="AG115" s="510">
        <v>513.29899999999998</v>
      </c>
      <c r="AH115" s="510">
        <v>532.21699999999998</v>
      </c>
      <c r="AI115" s="510">
        <v>562.32899999999995</v>
      </c>
      <c r="AJ115" s="510">
        <v>596.29100000000005</v>
      </c>
      <c r="AK115" s="510">
        <v>620.57500000000005</v>
      </c>
      <c r="AL115" s="510">
        <v>647.08299999999997</v>
      </c>
      <c r="AM115" s="510">
        <v>686.13</v>
      </c>
      <c r="AO115" s="510">
        <v>419.62200000000001</v>
      </c>
      <c r="AP115" s="510">
        <v>427.80700000000002</v>
      </c>
      <c r="AQ115" s="510">
        <v>435.28300000000002</v>
      </c>
      <c r="AR115" s="510">
        <v>443.02199999999999</v>
      </c>
      <c r="AS115" s="510">
        <v>460.24400000000003</v>
      </c>
      <c r="AT115" s="510">
        <v>477.83800000000002</v>
      </c>
      <c r="AU115" s="510">
        <v>485.55500000000001</v>
      </c>
      <c r="AV115" s="510">
        <v>490.20400000000001</v>
      </c>
      <c r="AW115" s="510">
        <v>518.89700000000005</v>
      </c>
      <c r="AY115" s="510">
        <v>404.16899999999998</v>
      </c>
      <c r="AZ115" s="510">
        <v>347.33100000000002</v>
      </c>
      <c r="BA115" s="510">
        <v>331.32799999999997</v>
      </c>
      <c r="BB115" s="510">
        <v>313.29000000000002</v>
      </c>
      <c r="BC115" s="510">
        <v>326.02199999999999</v>
      </c>
      <c r="BD115" s="510">
        <v>329.827</v>
      </c>
      <c r="BE115" s="510">
        <v>316.52199999999999</v>
      </c>
      <c r="BF115" s="510">
        <v>299.36500000000001</v>
      </c>
      <c r="BG115" s="510">
        <v>309.55700000000002</v>
      </c>
      <c r="BI115" s="477" t="s">
        <v>431</v>
      </c>
    </row>
    <row r="116" spans="2:61" x14ac:dyDescent="0.2">
      <c r="B116" s="475" t="s">
        <v>511</v>
      </c>
      <c r="C116" s="472" t="s">
        <v>651</v>
      </c>
      <c r="D116" s="522" t="s">
        <v>652</v>
      </c>
      <c r="E116" s="479" t="s">
        <v>653</v>
      </c>
      <c r="F116" s="509">
        <v>0</v>
      </c>
      <c r="G116" s="510">
        <v>0</v>
      </c>
      <c r="H116" s="510">
        <v>0</v>
      </c>
      <c r="I116" s="510">
        <v>0</v>
      </c>
      <c r="K116" s="510">
        <v>0</v>
      </c>
      <c r="L116" s="510">
        <v>0</v>
      </c>
      <c r="M116" s="510">
        <v>0</v>
      </c>
      <c r="N116" s="510">
        <v>0</v>
      </c>
      <c r="O116" s="510">
        <v>0</v>
      </c>
      <c r="P116" s="510">
        <v>0</v>
      </c>
      <c r="Q116" s="510">
        <v>0</v>
      </c>
      <c r="R116" s="510">
        <v>0</v>
      </c>
      <c r="S116" s="510">
        <v>0</v>
      </c>
      <c r="U116" s="510">
        <v>0</v>
      </c>
      <c r="V116" s="510">
        <v>0</v>
      </c>
      <c r="W116" s="510">
        <v>0</v>
      </c>
      <c r="X116" s="510">
        <v>0</v>
      </c>
      <c r="Y116" s="510">
        <v>0</v>
      </c>
      <c r="Z116" s="510">
        <v>0</v>
      </c>
      <c r="AA116" s="510">
        <v>0</v>
      </c>
      <c r="AB116" s="510">
        <v>0</v>
      </c>
      <c r="AC116" s="510">
        <v>0</v>
      </c>
      <c r="AE116" s="510">
        <v>0</v>
      </c>
      <c r="AF116" s="510">
        <v>0</v>
      </c>
      <c r="AG116" s="510">
        <v>0</v>
      </c>
      <c r="AH116" s="510">
        <v>0</v>
      </c>
      <c r="AI116" s="510">
        <v>0</v>
      </c>
      <c r="AJ116" s="510">
        <v>0</v>
      </c>
      <c r="AK116" s="510">
        <v>0</v>
      </c>
      <c r="AL116" s="510">
        <v>0</v>
      </c>
      <c r="AM116" s="510">
        <v>0</v>
      </c>
      <c r="AO116" s="510">
        <v>0</v>
      </c>
      <c r="AP116" s="510">
        <v>0</v>
      </c>
      <c r="AQ116" s="510">
        <v>0</v>
      </c>
      <c r="AR116" s="510">
        <v>0</v>
      </c>
      <c r="AS116" s="510">
        <v>0</v>
      </c>
      <c r="AT116" s="510">
        <v>0</v>
      </c>
      <c r="AU116" s="510">
        <v>0</v>
      </c>
      <c r="AV116" s="510">
        <v>0</v>
      </c>
      <c r="AW116" s="510">
        <v>0</v>
      </c>
      <c r="AY116" s="510">
        <v>0</v>
      </c>
      <c r="AZ116" s="510">
        <v>0</v>
      </c>
      <c r="BA116" s="510">
        <v>0</v>
      </c>
      <c r="BB116" s="510">
        <v>0</v>
      </c>
      <c r="BC116" s="510">
        <v>0</v>
      </c>
      <c r="BD116" s="510">
        <v>0</v>
      </c>
      <c r="BE116" s="510">
        <v>0</v>
      </c>
      <c r="BF116" s="510">
        <v>0</v>
      </c>
      <c r="BG116" s="510">
        <v>0</v>
      </c>
      <c r="BI116" s="477" t="s">
        <v>431</v>
      </c>
    </row>
    <row r="117" spans="2:61" x14ac:dyDescent="0.2">
      <c r="B117" s="475"/>
      <c r="D117" s="522" t="s">
        <v>371</v>
      </c>
    </row>
    <row r="118" spans="2:61" x14ac:dyDescent="0.2">
      <c r="B118" s="475"/>
      <c r="D118" s="522" t="s">
        <v>371</v>
      </c>
      <c r="E118" s="503" t="s">
        <v>654</v>
      </c>
    </row>
    <row r="119" spans="2:61" x14ac:dyDescent="0.2">
      <c r="B119" s="475" t="s">
        <v>655</v>
      </c>
      <c r="C119" s="472" t="s">
        <v>656</v>
      </c>
      <c r="D119" s="522" t="s">
        <v>657</v>
      </c>
      <c r="E119" s="479" t="s">
        <v>658</v>
      </c>
      <c r="F119" s="509">
        <v>0</v>
      </c>
      <c r="G119" s="510">
        <v>0</v>
      </c>
      <c r="H119" s="510">
        <v>0</v>
      </c>
      <c r="I119" s="510">
        <v>0</v>
      </c>
      <c r="K119" s="510">
        <v>0</v>
      </c>
      <c r="L119" s="510">
        <v>0</v>
      </c>
      <c r="M119" s="510">
        <v>0</v>
      </c>
      <c r="N119" s="510">
        <v>0</v>
      </c>
      <c r="O119" s="510">
        <v>0</v>
      </c>
      <c r="P119" s="510">
        <v>0</v>
      </c>
      <c r="Q119" s="510">
        <v>0</v>
      </c>
      <c r="R119" s="510">
        <v>0</v>
      </c>
      <c r="S119" s="510">
        <v>0</v>
      </c>
      <c r="U119" s="510">
        <v>0</v>
      </c>
      <c r="V119" s="510">
        <v>0</v>
      </c>
      <c r="W119" s="510">
        <v>0</v>
      </c>
      <c r="X119" s="510">
        <v>0</v>
      </c>
      <c r="Y119" s="510">
        <v>0</v>
      </c>
      <c r="Z119" s="510">
        <v>0</v>
      </c>
      <c r="AA119" s="510">
        <v>70.531999999999996</v>
      </c>
      <c r="AB119" s="510">
        <v>153.11099999999999</v>
      </c>
      <c r="AC119" s="510">
        <v>143.81700000000001</v>
      </c>
      <c r="AE119" s="510">
        <v>0</v>
      </c>
      <c r="AF119" s="510">
        <v>0</v>
      </c>
      <c r="AG119" s="510">
        <v>0</v>
      </c>
      <c r="AH119" s="510">
        <v>0</v>
      </c>
      <c r="AI119" s="510">
        <v>0</v>
      </c>
      <c r="AJ119" s="510">
        <v>0</v>
      </c>
      <c r="AK119" s="510">
        <v>0</v>
      </c>
      <c r="AL119" s="510">
        <v>0</v>
      </c>
      <c r="AM119" s="510">
        <v>0</v>
      </c>
      <c r="AO119" s="510">
        <v>0</v>
      </c>
      <c r="AP119" s="510">
        <v>0</v>
      </c>
      <c r="AQ119" s="510">
        <v>0</v>
      </c>
      <c r="AR119" s="510">
        <v>0</v>
      </c>
      <c r="AS119" s="510">
        <v>0</v>
      </c>
      <c r="AT119" s="510">
        <v>0</v>
      </c>
      <c r="AU119" s="510">
        <v>0</v>
      </c>
      <c r="AV119" s="510">
        <v>0</v>
      </c>
      <c r="AW119" s="510">
        <v>0</v>
      </c>
      <c r="AY119" s="510">
        <v>0</v>
      </c>
      <c r="AZ119" s="510">
        <v>0</v>
      </c>
      <c r="BA119" s="510">
        <v>0</v>
      </c>
      <c r="BB119" s="510">
        <v>0</v>
      </c>
      <c r="BC119" s="510">
        <v>0</v>
      </c>
      <c r="BD119" s="510">
        <v>0</v>
      </c>
      <c r="BE119" s="510">
        <v>0</v>
      </c>
      <c r="BF119" s="510">
        <v>3.9809999999999999</v>
      </c>
      <c r="BG119" s="510">
        <v>0</v>
      </c>
      <c r="BI119" s="477" t="s">
        <v>431</v>
      </c>
    </row>
    <row r="120" spans="2:61" x14ac:dyDescent="0.2">
      <c r="B120" s="475" t="s">
        <v>659</v>
      </c>
      <c r="C120" s="472" t="s">
        <v>660</v>
      </c>
      <c r="D120" s="522" t="s">
        <v>661</v>
      </c>
      <c r="E120" s="479" t="s">
        <v>662</v>
      </c>
      <c r="F120" s="509">
        <v>542.80050000000006</v>
      </c>
      <c r="G120" s="510">
        <v>602.18010000000004</v>
      </c>
      <c r="H120" s="510">
        <v>622.00049999999999</v>
      </c>
      <c r="I120" s="510">
        <v>632.72865000000002</v>
      </c>
      <c r="K120" s="510">
        <v>696.37099999999998</v>
      </c>
      <c r="L120" s="510">
        <v>732.76599999999996</v>
      </c>
      <c r="M120" s="510">
        <v>769.94899999999996</v>
      </c>
      <c r="N120" s="510">
        <v>798.32500000000005</v>
      </c>
      <c r="O120" s="510">
        <v>843.49300000000005</v>
      </c>
      <c r="P120" s="510">
        <v>894.43600000000004</v>
      </c>
      <c r="Q120" s="510">
        <v>930.86300000000006</v>
      </c>
      <c r="R120" s="510">
        <v>970.62400000000002</v>
      </c>
      <c r="S120" s="510">
        <v>1029.1949999999999</v>
      </c>
      <c r="U120" s="510">
        <v>604.36699999999996</v>
      </c>
      <c r="V120" s="510">
        <v>534.16899999999998</v>
      </c>
      <c r="W120" s="510">
        <v>482.85500000000002</v>
      </c>
      <c r="X120" s="510">
        <v>444.43599999999998</v>
      </c>
      <c r="Y120" s="510">
        <v>443.274</v>
      </c>
      <c r="Z120" s="510">
        <v>450.45499999999998</v>
      </c>
      <c r="AA120" s="510">
        <v>419.06299999999999</v>
      </c>
      <c r="AB120" s="510">
        <v>383.60899999999998</v>
      </c>
      <c r="AC120" s="510">
        <v>395.06</v>
      </c>
      <c r="AE120" s="510">
        <v>696.37099999999998</v>
      </c>
      <c r="AF120" s="510">
        <v>732.76599999999996</v>
      </c>
      <c r="AG120" s="510">
        <v>769.94899999999996</v>
      </c>
      <c r="AH120" s="510">
        <v>798.32500000000005</v>
      </c>
      <c r="AI120" s="510">
        <v>843.49300000000005</v>
      </c>
      <c r="AJ120" s="510">
        <v>894.43600000000004</v>
      </c>
      <c r="AK120" s="510">
        <v>930.86300000000006</v>
      </c>
      <c r="AL120" s="510">
        <v>970.62400000000002</v>
      </c>
      <c r="AM120" s="510">
        <v>1029.1949999999999</v>
      </c>
      <c r="AO120" s="510">
        <v>629.43299999999999</v>
      </c>
      <c r="AP120" s="510">
        <v>641.71</v>
      </c>
      <c r="AQ120" s="510">
        <v>652.92499999999995</v>
      </c>
      <c r="AR120" s="510">
        <v>664.53300000000002</v>
      </c>
      <c r="AS120" s="510">
        <v>690.36500000000001</v>
      </c>
      <c r="AT120" s="510">
        <v>716.75699999999995</v>
      </c>
      <c r="AU120" s="510">
        <v>728.33299999999997</v>
      </c>
      <c r="AV120" s="510">
        <v>735.30499999999995</v>
      </c>
      <c r="AW120" s="510">
        <v>778.34500000000003</v>
      </c>
      <c r="AY120" s="510">
        <v>606.25300000000004</v>
      </c>
      <c r="AZ120" s="510">
        <v>520.99599999999998</v>
      </c>
      <c r="BA120" s="510">
        <v>496.99200000000002</v>
      </c>
      <c r="BB120" s="510">
        <v>469.935</v>
      </c>
      <c r="BC120" s="510">
        <v>489.03199999999998</v>
      </c>
      <c r="BD120" s="510">
        <v>494.74</v>
      </c>
      <c r="BE120" s="510">
        <v>474.78300000000002</v>
      </c>
      <c r="BF120" s="510">
        <v>449.048</v>
      </c>
      <c r="BG120" s="510">
        <v>464.33499999999998</v>
      </c>
      <c r="BI120" s="477" t="s">
        <v>431</v>
      </c>
    </row>
    <row r="121" spans="2:61" x14ac:dyDescent="0.2">
      <c r="B121" s="475" t="s">
        <v>663</v>
      </c>
      <c r="C121" s="472" t="s">
        <v>664</v>
      </c>
      <c r="D121" s="522" t="s">
        <v>665</v>
      </c>
      <c r="E121" s="479" t="s">
        <v>666</v>
      </c>
      <c r="F121" s="509">
        <v>0</v>
      </c>
      <c r="G121" s="510">
        <v>0</v>
      </c>
      <c r="H121" s="510">
        <v>0</v>
      </c>
      <c r="I121" s="510">
        <v>0</v>
      </c>
      <c r="K121" s="510">
        <v>0</v>
      </c>
      <c r="L121" s="510">
        <v>0</v>
      </c>
      <c r="M121" s="510">
        <v>0</v>
      </c>
      <c r="N121" s="510">
        <v>0</v>
      </c>
      <c r="O121" s="510">
        <v>0</v>
      </c>
      <c r="P121" s="510">
        <v>0</v>
      </c>
      <c r="Q121" s="510">
        <v>0</v>
      </c>
      <c r="R121" s="510">
        <v>0</v>
      </c>
      <c r="S121" s="510">
        <v>0</v>
      </c>
      <c r="U121" s="510">
        <v>0</v>
      </c>
      <c r="V121" s="510">
        <v>0</v>
      </c>
      <c r="W121" s="510">
        <v>0</v>
      </c>
      <c r="X121" s="510">
        <v>0</v>
      </c>
      <c r="Y121" s="510">
        <v>0</v>
      </c>
      <c r="Z121" s="510">
        <v>0</v>
      </c>
      <c r="AA121" s="510">
        <v>0</v>
      </c>
      <c r="AB121" s="510">
        <v>0</v>
      </c>
      <c r="AC121" s="510">
        <v>0</v>
      </c>
      <c r="AE121" s="510">
        <v>0</v>
      </c>
      <c r="AF121" s="510">
        <v>0</v>
      </c>
      <c r="AG121" s="510">
        <v>0</v>
      </c>
      <c r="AH121" s="510">
        <v>0</v>
      </c>
      <c r="AI121" s="510">
        <v>0</v>
      </c>
      <c r="AJ121" s="510">
        <v>0</v>
      </c>
      <c r="AK121" s="510">
        <v>0</v>
      </c>
      <c r="AL121" s="510">
        <v>0</v>
      </c>
      <c r="AM121" s="510">
        <v>0</v>
      </c>
      <c r="AO121" s="510">
        <v>0</v>
      </c>
      <c r="AP121" s="510">
        <v>0</v>
      </c>
      <c r="AQ121" s="510">
        <v>0</v>
      </c>
      <c r="AR121" s="510">
        <v>0</v>
      </c>
      <c r="AS121" s="510">
        <v>0</v>
      </c>
      <c r="AT121" s="510">
        <v>0</v>
      </c>
      <c r="AU121" s="510">
        <v>0</v>
      </c>
      <c r="AV121" s="510">
        <v>0</v>
      </c>
      <c r="AW121" s="510">
        <v>0</v>
      </c>
      <c r="AY121" s="510">
        <v>0</v>
      </c>
      <c r="AZ121" s="510">
        <v>0</v>
      </c>
      <c r="BA121" s="510">
        <v>0</v>
      </c>
      <c r="BB121" s="510">
        <v>0</v>
      </c>
      <c r="BC121" s="510">
        <v>0</v>
      </c>
      <c r="BD121" s="510">
        <v>0</v>
      </c>
      <c r="BE121" s="510">
        <v>0</v>
      </c>
      <c r="BF121" s="510">
        <v>0</v>
      </c>
      <c r="BG121" s="510">
        <v>0</v>
      </c>
      <c r="BI121" s="477" t="s">
        <v>431</v>
      </c>
    </row>
    <row r="122" spans="2:61" x14ac:dyDescent="0.2">
      <c r="B122" s="475" t="s">
        <v>667</v>
      </c>
      <c r="C122" s="472" t="s">
        <v>668</v>
      </c>
      <c r="D122" s="522" t="s">
        <v>669</v>
      </c>
      <c r="E122" s="479" t="s">
        <v>670</v>
      </c>
      <c r="F122" s="509">
        <v>0</v>
      </c>
      <c r="G122" s="510">
        <v>0</v>
      </c>
      <c r="H122" s="510">
        <v>0</v>
      </c>
      <c r="I122" s="510">
        <v>0</v>
      </c>
      <c r="K122" s="510">
        <v>0</v>
      </c>
      <c r="L122" s="510">
        <v>0</v>
      </c>
      <c r="M122" s="510">
        <v>0</v>
      </c>
      <c r="N122" s="510">
        <v>0</v>
      </c>
      <c r="O122" s="510">
        <v>0</v>
      </c>
      <c r="P122" s="510">
        <v>0</v>
      </c>
      <c r="Q122" s="510">
        <v>0</v>
      </c>
      <c r="R122" s="510">
        <v>0</v>
      </c>
      <c r="S122" s="510">
        <v>0</v>
      </c>
      <c r="U122" s="510">
        <v>0</v>
      </c>
      <c r="V122" s="510">
        <v>0</v>
      </c>
      <c r="W122" s="510">
        <v>0</v>
      </c>
      <c r="X122" s="510">
        <v>0</v>
      </c>
      <c r="Y122" s="510">
        <v>0</v>
      </c>
      <c r="Z122" s="510">
        <v>0</v>
      </c>
      <c r="AA122" s="510">
        <v>70.531999999999996</v>
      </c>
      <c r="AB122" s="510">
        <v>153.11099999999999</v>
      </c>
      <c r="AC122" s="510">
        <v>143.81700000000001</v>
      </c>
      <c r="AE122" s="510">
        <v>0</v>
      </c>
      <c r="AF122" s="510">
        <v>0</v>
      </c>
      <c r="AG122" s="510">
        <v>0</v>
      </c>
      <c r="AH122" s="510">
        <v>0</v>
      </c>
      <c r="AI122" s="510">
        <v>0</v>
      </c>
      <c r="AJ122" s="510">
        <v>0</v>
      </c>
      <c r="AK122" s="510">
        <v>0</v>
      </c>
      <c r="AL122" s="510">
        <v>0</v>
      </c>
      <c r="AM122" s="510">
        <v>0</v>
      </c>
      <c r="AO122" s="510">
        <v>0</v>
      </c>
      <c r="AP122" s="510">
        <v>0</v>
      </c>
      <c r="AQ122" s="510">
        <v>0</v>
      </c>
      <c r="AR122" s="510">
        <v>0</v>
      </c>
      <c r="AS122" s="510">
        <v>0</v>
      </c>
      <c r="AT122" s="510">
        <v>0</v>
      </c>
      <c r="AU122" s="510">
        <v>0</v>
      </c>
      <c r="AV122" s="510">
        <v>0</v>
      </c>
      <c r="AW122" s="510">
        <v>0</v>
      </c>
      <c r="AY122" s="510">
        <v>0</v>
      </c>
      <c r="AZ122" s="510">
        <v>0</v>
      </c>
      <c r="BA122" s="510">
        <v>0</v>
      </c>
      <c r="BB122" s="510">
        <v>0</v>
      </c>
      <c r="BC122" s="510">
        <v>0</v>
      </c>
      <c r="BD122" s="510">
        <v>0</v>
      </c>
      <c r="BE122" s="510">
        <v>0</v>
      </c>
      <c r="BF122" s="510">
        <v>3.9809999999999999</v>
      </c>
      <c r="BG122" s="510">
        <v>0</v>
      </c>
      <c r="BI122" s="477" t="s">
        <v>431</v>
      </c>
    </row>
    <row r="123" spans="2:61" x14ac:dyDescent="0.2">
      <c r="B123" s="475" t="s">
        <v>671</v>
      </c>
      <c r="C123" s="472" t="s">
        <v>672</v>
      </c>
      <c r="D123" s="522" t="s">
        <v>673</v>
      </c>
      <c r="E123" s="479" t="s">
        <v>674</v>
      </c>
      <c r="F123" s="509">
        <v>0</v>
      </c>
      <c r="G123" s="510">
        <v>0</v>
      </c>
      <c r="H123" s="510">
        <v>0</v>
      </c>
      <c r="I123" s="510">
        <v>0</v>
      </c>
      <c r="K123" s="510">
        <v>0</v>
      </c>
      <c r="L123" s="510">
        <v>0</v>
      </c>
      <c r="M123" s="510">
        <v>0</v>
      </c>
      <c r="N123" s="510">
        <v>0</v>
      </c>
      <c r="O123" s="510">
        <v>0</v>
      </c>
      <c r="P123" s="510">
        <v>0</v>
      </c>
      <c r="Q123" s="510">
        <v>0</v>
      </c>
      <c r="R123" s="510">
        <v>0</v>
      </c>
      <c r="S123" s="510">
        <v>0</v>
      </c>
      <c r="U123" s="510">
        <v>0</v>
      </c>
      <c r="V123" s="510">
        <v>0</v>
      </c>
      <c r="W123" s="510">
        <v>0</v>
      </c>
      <c r="X123" s="510">
        <v>0</v>
      </c>
      <c r="Y123" s="510">
        <v>0</v>
      </c>
      <c r="Z123" s="510">
        <v>0</v>
      </c>
      <c r="AA123" s="510">
        <v>0</v>
      </c>
      <c r="AB123" s="510">
        <v>0</v>
      </c>
      <c r="AC123" s="510">
        <v>0</v>
      </c>
      <c r="AE123" s="510">
        <v>0</v>
      </c>
      <c r="AF123" s="510">
        <v>0</v>
      </c>
      <c r="AG123" s="510">
        <v>0</v>
      </c>
      <c r="AH123" s="510">
        <v>0</v>
      </c>
      <c r="AI123" s="510">
        <v>0</v>
      </c>
      <c r="AJ123" s="510">
        <v>0</v>
      </c>
      <c r="AK123" s="510">
        <v>0</v>
      </c>
      <c r="AL123" s="510">
        <v>0</v>
      </c>
      <c r="AM123" s="510">
        <v>0</v>
      </c>
      <c r="AO123" s="510">
        <v>0</v>
      </c>
      <c r="AP123" s="510">
        <v>0</v>
      </c>
      <c r="AQ123" s="510">
        <v>0</v>
      </c>
      <c r="AR123" s="510">
        <v>0</v>
      </c>
      <c r="AS123" s="510">
        <v>0</v>
      </c>
      <c r="AT123" s="510">
        <v>0</v>
      </c>
      <c r="AU123" s="510">
        <v>0</v>
      </c>
      <c r="AV123" s="510">
        <v>0</v>
      </c>
      <c r="AW123" s="510">
        <v>0</v>
      </c>
      <c r="AY123" s="510">
        <v>0</v>
      </c>
      <c r="AZ123" s="510">
        <v>0</v>
      </c>
      <c r="BA123" s="510">
        <v>0</v>
      </c>
      <c r="BB123" s="510">
        <v>0</v>
      </c>
      <c r="BC123" s="510">
        <v>0</v>
      </c>
      <c r="BD123" s="510">
        <v>0</v>
      </c>
      <c r="BE123" s="510">
        <v>0</v>
      </c>
      <c r="BF123" s="510">
        <v>0</v>
      </c>
      <c r="BG123" s="510">
        <v>0</v>
      </c>
      <c r="BI123" s="477" t="s">
        <v>431</v>
      </c>
    </row>
    <row r="124" spans="2:61" x14ac:dyDescent="0.2">
      <c r="B124" s="475"/>
      <c r="D124" s="522" t="s">
        <v>371</v>
      </c>
    </row>
    <row r="125" spans="2:61" x14ac:dyDescent="0.2">
      <c r="B125" s="475"/>
      <c r="D125" s="522" t="s">
        <v>371</v>
      </c>
      <c r="E125" s="503" t="s">
        <v>675</v>
      </c>
    </row>
    <row r="126" spans="2:61" x14ac:dyDescent="0.2">
      <c r="B126" s="475" t="s">
        <v>676</v>
      </c>
      <c r="C126" s="472" t="s">
        <v>677</v>
      </c>
      <c r="D126" s="522" t="s">
        <v>678</v>
      </c>
      <c r="E126" s="479" t="s">
        <v>679</v>
      </c>
      <c r="F126" s="509">
        <v>33387.711000000003</v>
      </c>
      <c r="G126" s="510">
        <v>35603.601999999999</v>
      </c>
      <c r="H126" s="510">
        <v>36053.059000000001</v>
      </c>
      <c r="I126" s="510">
        <v>36046.281999999999</v>
      </c>
      <c r="K126" s="510">
        <v>35673.110999999997</v>
      </c>
      <c r="L126" s="510">
        <v>34845.413</v>
      </c>
      <c r="M126" s="510">
        <v>34613.964999999997</v>
      </c>
      <c r="N126" s="510">
        <v>34460.334999999999</v>
      </c>
      <c r="O126" s="510">
        <v>34357.391000000003</v>
      </c>
      <c r="P126" s="510">
        <v>34487.472999999998</v>
      </c>
      <c r="Q126" s="510">
        <v>35216.315000000002</v>
      </c>
      <c r="R126" s="510">
        <v>35976.112000000001</v>
      </c>
      <c r="S126" s="510">
        <v>36280.703999999998</v>
      </c>
      <c r="U126" s="510">
        <v>35428.5</v>
      </c>
      <c r="V126" s="510">
        <v>34023.451000000001</v>
      </c>
      <c r="W126" s="510">
        <v>33675.205000000002</v>
      </c>
      <c r="X126" s="510">
        <v>33431.413</v>
      </c>
      <c r="Y126" s="510">
        <v>32480.14</v>
      </c>
      <c r="Z126" s="510">
        <v>31405.253000000001</v>
      </c>
      <c r="AA126" s="510">
        <v>30768.543000000001</v>
      </c>
      <c r="AB126" s="510">
        <v>30200.04</v>
      </c>
      <c r="AC126" s="510">
        <v>29158.446</v>
      </c>
      <c r="AE126" s="510">
        <v>35673.110999999997</v>
      </c>
      <c r="AF126" s="510">
        <v>34845.413</v>
      </c>
      <c r="AG126" s="510">
        <v>34613.964999999997</v>
      </c>
      <c r="AH126" s="510">
        <v>34460.334999999999</v>
      </c>
      <c r="AI126" s="510">
        <v>34357.391000000003</v>
      </c>
      <c r="AJ126" s="510">
        <v>34487.472999999998</v>
      </c>
      <c r="AK126" s="510">
        <v>35216.315000000002</v>
      </c>
      <c r="AL126" s="510">
        <v>35976.112000000001</v>
      </c>
      <c r="AM126" s="510">
        <v>36280.703999999998</v>
      </c>
      <c r="AO126" s="510">
        <v>35626.364999999998</v>
      </c>
      <c r="AP126" s="510">
        <v>34942.695</v>
      </c>
      <c r="AQ126" s="510">
        <v>35246.165000000001</v>
      </c>
      <c r="AR126" s="510">
        <v>35294.214999999997</v>
      </c>
      <c r="AS126" s="510">
        <v>34585.129000000001</v>
      </c>
      <c r="AT126" s="510">
        <v>33720.190999999999</v>
      </c>
      <c r="AU126" s="510">
        <v>33303.495999999999</v>
      </c>
      <c r="AV126" s="510">
        <v>32936.292999999998</v>
      </c>
      <c r="AW126" s="510">
        <v>31962.255000000001</v>
      </c>
      <c r="AY126" s="510">
        <v>35339.396999999997</v>
      </c>
      <c r="AZ126" s="510">
        <v>34066.355000000003</v>
      </c>
      <c r="BA126" s="510">
        <v>34094.885000000002</v>
      </c>
      <c r="BB126" s="510">
        <v>33957.47</v>
      </c>
      <c r="BC126" s="510">
        <v>33011.036</v>
      </c>
      <c r="BD126" s="510">
        <v>31981.741000000002</v>
      </c>
      <c r="BE126" s="510">
        <v>31257.457999999999</v>
      </c>
      <c r="BF126" s="510">
        <v>30552.280999999999</v>
      </c>
      <c r="BG126" s="510">
        <v>29392.146000000001</v>
      </c>
      <c r="BI126" s="477" t="s">
        <v>431</v>
      </c>
    </row>
    <row r="127" spans="2:61" x14ac:dyDescent="0.2">
      <c r="B127" s="475" t="s">
        <v>680</v>
      </c>
      <c r="C127" s="472" t="s">
        <v>681</v>
      </c>
      <c r="D127" s="522" t="s">
        <v>682</v>
      </c>
      <c r="E127" s="479" t="s">
        <v>683</v>
      </c>
      <c r="F127" s="509">
        <v>241.1</v>
      </c>
      <c r="G127" s="510">
        <v>236.63900000000001</v>
      </c>
      <c r="H127" s="510">
        <v>238.411</v>
      </c>
      <c r="I127" s="510">
        <v>221.79300000000001</v>
      </c>
      <c r="K127" s="510">
        <v>214.173</v>
      </c>
      <c r="L127" s="510">
        <v>206.673</v>
      </c>
      <c r="M127" s="510">
        <v>199.173</v>
      </c>
      <c r="N127" s="510">
        <v>191.673</v>
      </c>
      <c r="O127" s="510">
        <v>184.173</v>
      </c>
      <c r="P127" s="510">
        <v>176.673</v>
      </c>
      <c r="Q127" s="510">
        <v>169.173</v>
      </c>
      <c r="R127" s="510">
        <v>161.673</v>
      </c>
      <c r="S127" s="510">
        <v>154.173</v>
      </c>
      <c r="U127" s="510">
        <v>214.173</v>
      </c>
      <c r="V127" s="510">
        <v>206.673</v>
      </c>
      <c r="W127" s="510">
        <v>199.173</v>
      </c>
      <c r="X127" s="510">
        <v>191.673</v>
      </c>
      <c r="Y127" s="510">
        <v>184.173</v>
      </c>
      <c r="Z127" s="510">
        <v>176.673</v>
      </c>
      <c r="AA127" s="510">
        <v>169.173</v>
      </c>
      <c r="AB127" s="510">
        <v>203.99799999999999</v>
      </c>
      <c r="AC127" s="510">
        <v>186.334</v>
      </c>
      <c r="AE127" s="510">
        <v>214.173</v>
      </c>
      <c r="AF127" s="510">
        <v>206.673</v>
      </c>
      <c r="AG127" s="510">
        <v>199.173</v>
      </c>
      <c r="AH127" s="510">
        <v>191.673</v>
      </c>
      <c r="AI127" s="510">
        <v>184.173</v>
      </c>
      <c r="AJ127" s="510">
        <v>176.673</v>
      </c>
      <c r="AK127" s="510">
        <v>169.173</v>
      </c>
      <c r="AL127" s="510">
        <v>161.673</v>
      </c>
      <c r="AM127" s="510">
        <v>154.173</v>
      </c>
      <c r="AO127" s="510">
        <v>214.173</v>
      </c>
      <c r="AP127" s="510">
        <v>206.673</v>
      </c>
      <c r="AQ127" s="510">
        <v>199.173</v>
      </c>
      <c r="AR127" s="510">
        <v>191.673</v>
      </c>
      <c r="AS127" s="510">
        <v>184.173</v>
      </c>
      <c r="AT127" s="510">
        <v>176.673</v>
      </c>
      <c r="AU127" s="510">
        <v>169.173</v>
      </c>
      <c r="AV127" s="510">
        <v>161.673</v>
      </c>
      <c r="AW127" s="510">
        <v>154.173</v>
      </c>
      <c r="AY127" s="510">
        <v>214.173</v>
      </c>
      <c r="AZ127" s="510">
        <v>206.673</v>
      </c>
      <c r="BA127" s="510">
        <v>199.173</v>
      </c>
      <c r="BB127" s="510">
        <v>191.673</v>
      </c>
      <c r="BC127" s="510">
        <v>184.173</v>
      </c>
      <c r="BD127" s="510">
        <v>176.673</v>
      </c>
      <c r="BE127" s="510">
        <v>169.173</v>
      </c>
      <c r="BF127" s="510">
        <v>161.673</v>
      </c>
      <c r="BG127" s="510">
        <v>154.173</v>
      </c>
      <c r="BI127" s="477" t="s">
        <v>431</v>
      </c>
    </row>
    <row r="128" spans="2:61" x14ac:dyDescent="0.2">
      <c r="B128" s="475" t="s">
        <v>684</v>
      </c>
      <c r="C128" s="472" t="s">
        <v>685</v>
      </c>
      <c r="D128" s="522" t="s">
        <v>686</v>
      </c>
      <c r="E128" s="479" t="s">
        <v>687</v>
      </c>
      <c r="F128" s="509">
        <v>0</v>
      </c>
      <c r="G128" s="510">
        <v>0</v>
      </c>
      <c r="H128" s="510">
        <v>0</v>
      </c>
      <c r="I128" s="510">
        <v>0</v>
      </c>
      <c r="K128" s="510"/>
      <c r="L128" s="510"/>
      <c r="M128" s="510"/>
      <c r="N128" s="510"/>
      <c r="O128" s="510"/>
      <c r="P128" s="510"/>
      <c r="Q128" s="510"/>
      <c r="R128" s="510"/>
      <c r="S128" s="510"/>
      <c r="U128" s="510"/>
      <c r="V128" s="510"/>
      <c r="W128" s="510"/>
      <c r="X128" s="510"/>
      <c r="Y128" s="510"/>
      <c r="Z128" s="510"/>
      <c r="AA128" s="510"/>
      <c r="AB128" s="510"/>
      <c r="AC128" s="510"/>
      <c r="AE128" s="510"/>
      <c r="AF128" s="510"/>
      <c r="AG128" s="510"/>
      <c r="AH128" s="510"/>
      <c r="AI128" s="510"/>
      <c r="AJ128" s="510"/>
      <c r="AK128" s="510"/>
      <c r="AL128" s="510"/>
      <c r="AM128" s="510"/>
      <c r="AO128" s="510"/>
      <c r="AP128" s="510"/>
      <c r="AQ128" s="510"/>
      <c r="AR128" s="510"/>
      <c r="AS128" s="510"/>
      <c r="AT128" s="510"/>
      <c r="AU128" s="510"/>
      <c r="AV128" s="510"/>
      <c r="AW128" s="510"/>
      <c r="AY128" s="510"/>
      <c r="AZ128" s="510"/>
      <c r="BA128" s="510"/>
      <c r="BB128" s="510"/>
      <c r="BC128" s="510"/>
      <c r="BD128" s="510"/>
      <c r="BE128" s="510"/>
      <c r="BF128" s="510"/>
      <c r="BG128" s="510"/>
      <c r="BI128" s="477" t="s">
        <v>431</v>
      </c>
    </row>
    <row r="129" spans="2:61" x14ac:dyDescent="0.2">
      <c r="B129" s="475" t="s">
        <v>688</v>
      </c>
      <c r="C129" s="472" t="s">
        <v>689</v>
      </c>
      <c r="D129" s="522" t="s">
        <v>690</v>
      </c>
      <c r="E129" s="479" t="s">
        <v>691</v>
      </c>
      <c r="F129" s="509">
        <v>33146.610999999997</v>
      </c>
      <c r="G129" s="510">
        <v>35366.963000000003</v>
      </c>
      <c r="H129" s="510">
        <v>35814.648000000001</v>
      </c>
      <c r="I129" s="510">
        <v>35824.489000000001</v>
      </c>
      <c r="K129" s="510">
        <v>35458.938000000002</v>
      </c>
      <c r="L129" s="510">
        <v>34638.74</v>
      </c>
      <c r="M129" s="510">
        <v>34414.792000000001</v>
      </c>
      <c r="N129" s="510">
        <v>34268.661999999997</v>
      </c>
      <c r="O129" s="510">
        <v>34173.218000000001</v>
      </c>
      <c r="P129" s="510">
        <v>34310.800000000003</v>
      </c>
      <c r="Q129" s="510">
        <v>35047.142</v>
      </c>
      <c r="R129" s="510">
        <v>35814.438999999998</v>
      </c>
      <c r="S129" s="510">
        <v>36126.531000000003</v>
      </c>
      <c r="U129" s="510">
        <v>35214.326999999997</v>
      </c>
      <c r="V129" s="510">
        <v>33816.777999999998</v>
      </c>
      <c r="W129" s="510">
        <v>33476.031999999999</v>
      </c>
      <c r="X129" s="510">
        <v>33239.74</v>
      </c>
      <c r="Y129" s="510">
        <v>32295.967000000001</v>
      </c>
      <c r="Z129" s="510">
        <v>31228.58</v>
      </c>
      <c r="AA129" s="510">
        <v>30599.37</v>
      </c>
      <c r="AB129" s="510">
        <v>29996.042000000001</v>
      </c>
      <c r="AC129" s="510">
        <v>28972.112000000001</v>
      </c>
      <c r="AE129" s="510">
        <v>35458.938000000002</v>
      </c>
      <c r="AF129" s="510">
        <v>34638.74</v>
      </c>
      <c r="AG129" s="510">
        <v>34414.792000000001</v>
      </c>
      <c r="AH129" s="510">
        <v>34268.661999999997</v>
      </c>
      <c r="AI129" s="510">
        <v>34173.218000000001</v>
      </c>
      <c r="AJ129" s="510">
        <v>34310.800000000003</v>
      </c>
      <c r="AK129" s="510">
        <v>35047.142</v>
      </c>
      <c r="AL129" s="510">
        <v>35814.438999999998</v>
      </c>
      <c r="AM129" s="510">
        <v>36126.531000000003</v>
      </c>
      <c r="AO129" s="510">
        <v>35412.192000000003</v>
      </c>
      <c r="AP129" s="510">
        <v>34736.021999999997</v>
      </c>
      <c r="AQ129" s="510">
        <v>35046.991999999998</v>
      </c>
      <c r="AR129" s="510">
        <v>35102.542000000001</v>
      </c>
      <c r="AS129" s="510">
        <v>34400.955999999998</v>
      </c>
      <c r="AT129" s="510">
        <v>33543.517999999996</v>
      </c>
      <c r="AU129" s="510">
        <v>33134.322999999997</v>
      </c>
      <c r="AV129" s="510">
        <v>32774.620000000003</v>
      </c>
      <c r="AW129" s="510">
        <v>31808.081999999999</v>
      </c>
      <c r="AY129" s="510">
        <v>35125.224000000002</v>
      </c>
      <c r="AZ129" s="510">
        <v>33859.682000000001</v>
      </c>
      <c r="BA129" s="510">
        <v>33895.712</v>
      </c>
      <c r="BB129" s="510">
        <v>33765.796999999999</v>
      </c>
      <c r="BC129" s="510">
        <v>32826.862999999998</v>
      </c>
      <c r="BD129" s="510">
        <v>31805.067999999999</v>
      </c>
      <c r="BE129" s="510">
        <v>31088.285</v>
      </c>
      <c r="BF129" s="510">
        <v>30390.608</v>
      </c>
      <c r="BG129" s="510">
        <v>29237.973000000002</v>
      </c>
      <c r="BI129" s="477" t="s">
        <v>431</v>
      </c>
    </row>
    <row r="130" spans="2:61" x14ac:dyDescent="0.2">
      <c r="B130" s="475"/>
      <c r="D130" s="522" t="s">
        <v>371</v>
      </c>
    </row>
    <row r="131" spans="2:61" x14ac:dyDescent="0.2">
      <c r="B131" s="475"/>
      <c r="D131" s="522" t="s">
        <v>371</v>
      </c>
      <c r="E131" s="503" t="s">
        <v>692</v>
      </c>
    </row>
    <row r="132" spans="2:61" x14ac:dyDescent="0.2">
      <c r="B132" s="475" t="s">
        <v>526</v>
      </c>
      <c r="C132" s="472" t="s">
        <v>527</v>
      </c>
      <c r="D132" s="522" t="s">
        <v>693</v>
      </c>
      <c r="E132" s="479" t="s">
        <v>694</v>
      </c>
      <c r="F132" s="509">
        <v>3618.67</v>
      </c>
      <c r="G132" s="510">
        <v>4014.5340000000001</v>
      </c>
      <c r="H132" s="510">
        <v>4146.67</v>
      </c>
      <c r="I132" s="510">
        <v>4218.1909999999998</v>
      </c>
      <c r="K132" s="510">
        <v>4642.473</v>
      </c>
      <c r="L132" s="510">
        <v>4885.107</v>
      </c>
      <c r="M132" s="510">
        <v>5132.991</v>
      </c>
      <c r="N132" s="510">
        <v>5322.165</v>
      </c>
      <c r="O132" s="510">
        <v>5623.2870000000003</v>
      </c>
      <c r="P132" s="510">
        <v>5962.9080000000004</v>
      </c>
      <c r="Q132" s="510">
        <v>6205.7520000000004</v>
      </c>
      <c r="R132" s="510">
        <v>6470.8249999999998</v>
      </c>
      <c r="S132" s="510">
        <v>6861.3010000000004</v>
      </c>
      <c r="U132" s="510">
        <v>4029.1149999999998</v>
      </c>
      <c r="V132" s="510">
        <v>3561.127</v>
      </c>
      <c r="W132" s="510">
        <v>3219.0309999999999</v>
      </c>
      <c r="X132" s="510">
        <v>2962.9059999999999</v>
      </c>
      <c r="Y132" s="510">
        <v>2955.16</v>
      </c>
      <c r="Z132" s="510">
        <v>3003.0309999999999</v>
      </c>
      <c r="AA132" s="510">
        <v>2793.7539999999999</v>
      </c>
      <c r="AB132" s="510">
        <v>2557.3910000000001</v>
      </c>
      <c r="AC132" s="510">
        <v>2633.7359999999999</v>
      </c>
      <c r="AE132" s="510">
        <v>4642.473</v>
      </c>
      <c r="AF132" s="510">
        <v>4885.107</v>
      </c>
      <c r="AG132" s="510">
        <v>5132.991</v>
      </c>
      <c r="AH132" s="510">
        <v>5322.165</v>
      </c>
      <c r="AI132" s="510">
        <v>5623.2870000000003</v>
      </c>
      <c r="AJ132" s="510">
        <v>5962.9080000000004</v>
      </c>
      <c r="AK132" s="510">
        <v>6205.7520000000004</v>
      </c>
      <c r="AL132" s="510">
        <v>6470.8249999999998</v>
      </c>
      <c r="AM132" s="510">
        <v>6861.3010000000004</v>
      </c>
      <c r="AO132" s="510">
        <v>4196.2219999999998</v>
      </c>
      <c r="AP132" s="510">
        <v>4278.0649999999996</v>
      </c>
      <c r="AQ132" s="510">
        <v>4352.8310000000001</v>
      </c>
      <c r="AR132" s="510">
        <v>4430.223</v>
      </c>
      <c r="AS132" s="510">
        <v>4602.4350000000004</v>
      </c>
      <c r="AT132" s="510">
        <v>4778.3829999999998</v>
      </c>
      <c r="AU132" s="510">
        <v>4855.55</v>
      </c>
      <c r="AV132" s="510">
        <v>4902.0349999999999</v>
      </c>
      <c r="AW132" s="510">
        <v>5188.9679999999998</v>
      </c>
      <c r="AY132" s="510">
        <v>4041.6869999999999</v>
      </c>
      <c r="AZ132" s="510">
        <v>3473.3069999999998</v>
      </c>
      <c r="BA132" s="510">
        <v>3313.28</v>
      </c>
      <c r="BB132" s="510">
        <v>3132.9029999999998</v>
      </c>
      <c r="BC132" s="510">
        <v>3260.2159999999999</v>
      </c>
      <c r="BD132" s="510">
        <v>3298.2660000000001</v>
      </c>
      <c r="BE132" s="510">
        <v>3165.2190000000001</v>
      </c>
      <c r="BF132" s="510">
        <v>2993.6529999999998</v>
      </c>
      <c r="BG132" s="510">
        <v>3095.5680000000002</v>
      </c>
      <c r="BI132" s="477" t="s">
        <v>431</v>
      </c>
    </row>
    <row r="133" spans="2:61" x14ac:dyDescent="0.2">
      <c r="B133" s="475" t="s">
        <v>555</v>
      </c>
      <c r="C133" s="472" t="s">
        <v>556</v>
      </c>
      <c r="D133" s="522" t="s">
        <v>695</v>
      </c>
      <c r="E133" s="479" t="s">
        <v>696</v>
      </c>
      <c r="F133" s="509">
        <v>3618.67</v>
      </c>
      <c r="G133" s="510">
        <v>4014.5340000000001</v>
      </c>
      <c r="H133" s="510">
        <v>4146.67</v>
      </c>
      <c r="I133" s="510">
        <v>4218.1909999999998</v>
      </c>
      <c r="K133" s="510">
        <v>4642.473</v>
      </c>
      <c r="L133" s="510">
        <v>4885.107</v>
      </c>
      <c r="M133" s="510">
        <v>5132.991</v>
      </c>
      <c r="N133" s="510">
        <v>5322.165</v>
      </c>
      <c r="O133" s="510">
        <v>5623.2870000000003</v>
      </c>
      <c r="P133" s="510">
        <v>5962.9080000000004</v>
      </c>
      <c r="Q133" s="510">
        <v>6205.7520000000004</v>
      </c>
      <c r="R133" s="510">
        <v>6470.8249999999998</v>
      </c>
      <c r="S133" s="510">
        <v>6861.3010000000004</v>
      </c>
      <c r="U133" s="510">
        <v>4029.1149999999998</v>
      </c>
      <c r="V133" s="510">
        <v>3561.127</v>
      </c>
      <c r="W133" s="510">
        <v>3219.0309999999999</v>
      </c>
      <c r="X133" s="510">
        <v>2962.9059999999999</v>
      </c>
      <c r="Y133" s="510">
        <v>2955.16</v>
      </c>
      <c r="Z133" s="510">
        <v>3003.0309999999999</v>
      </c>
      <c r="AA133" s="510">
        <v>2793.7539999999999</v>
      </c>
      <c r="AB133" s="510">
        <v>2557.3910000000001</v>
      </c>
      <c r="AC133" s="510">
        <v>2633.7359999999999</v>
      </c>
      <c r="AE133" s="510">
        <v>4642.473</v>
      </c>
      <c r="AF133" s="510">
        <v>4885.107</v>
      </c>
      <c r="AG133" s="510">
        <v>5132.991</v>
      </c>
      <c r="AH133" s="510">
        <v>5322.165</v>
      </c>
      <c r="AI133" s="510">
        <v>5623.2870000000003</v>
      </c>
      <c r="AJ133" s="510">
        <v>5962.9080000000004</v>
      </c>
      <c r="AK133" s="510">
        <v>6205.7520000000004</v>
      </c>
      <c r="AL133" s="510">
        <v>6470.8249999999998</v>
      </c>
      <c r="AM133" s="510">
        <v>6861.3010000000004</v>
      </c>
      <c r="AO133" s="510">
        <v>4196.2219999999998</v>
      </c>
      <c r="AP133" s="510">
        <v>4278.0649999999996</v>
      </c>
      <c r="AQ133" s="510">
        <v>4352.8310000000001</v>
      </c>
      <c r="AR133" s="510">
        <v>4430.223</v>
      </c>
      <c r="AS133" s="510">
        <v>4602.4350000000004</v>
      </c>
      <c r="AT133" s="510">
        <v>4778.3829999999998</v>
      </c>
      <c r="AU133" s="510">
        <v>4855.55</v>
      </c>
      <c r="AV133" s="510">
        <v>4902.0349999999999</v>
      </c>
      <c r="AW133" s="510">
        <v>5188.9679999999998</v>
      </c>
      <c r="AY133" s="510">
        <v>4041.6869999999999</v>
      </c>
      <c r="AZ133" s="510">
        <v>3473.3069999999998</v>
      </c>
      <c r="BA133" s="510">
        <v>3313.28</v>
      </c>
      <c r="BB133" s="510">
        <v>3132.9029999999998</v>
      </c>
      <c r="BC133" s="510">
        <v>3260.2159999999999</v>
      </c>
      <c r="BD133" s="510">
        <v>3298.2660000000001</v>
      </c>
      <c r="BE133" s="510">
        <v>3165.2190000000001</v>
      </c>
      <c r="BF133" s="510">
        <v>2993.6529999999998</v>
      </c>
      <c r="BG133" s="510">
        <v>3095.5680000000002</v>
      </c>
      <c r="BI133" s="477" t="s">
        <v>431</v>
      </c>
    </row>
    <row r="134" spans="2:61" x14ac:dyDescent="0.2">
      <c r="B134" s="475" t="s">
        <v>601</v>
      </c>
      <c r="C134" s="472" t="s">
        <v>602</v>
      </c>
      <c r="D134" s="522" t="s">
        <v>697</v>
      </c>
      <c r="E134" s="479" t="s">
        <v>698</v>
      </c>
      <c r="F134" s="509">
        <v>4100.3046000000004</v>
      </c>
      <c r="G134" s="510">
        <v>4519.1469125000003</v>
      </c>
      <c r="H134" s="510">
        <v>4645.2120249999998</v>
      </c>
      <c r="I134" s="510">
        <v>4727.2722375000003</v>
      </c>
      <c r="K134" s="510">
        <v>5123.5069999999996</v>
      </c>
      <c r="L134" s="510">
        <v>5371.8919999999998</v>
      </c>
      <c r="M134" s="510">
        <v>5612.8739999999998</v>
      </c>
      <c r="N134" s="510">
        <v>5805.277</v>
      </c>
      <c r="O134" s="510">
        <v>6097.6329999999998</v>
      </c>
      <c r="P134" s="510">
        <v>6449.7709999999997</v>
      </c>
      <c r="Q134" s="510">
        <v>6704.05</v>
      </c>
      <c r="R134" s="510">
        <v>6980.2030000000004</v>
      </c>
      <c r="S134" s="510">
        <v>7366.7929999999997</v>
      </c>
      <c r="U134" s="510">
        <v>4512.3379999999997</v>
      </c>
      <c r="V134" s="510">
        <v>4053.1559999999999</v>
      </c>
      <c r="W134" s="510">
        <v>3713.0239999999999</v>
      </c>
      <c r="X134" s="510">
        <v>3447.4430000000002</v>
      </c>
      <c r="Y134" s="510">
        <v>3408.6419999999998</v>
      </c>
      <c r="Z134" s="510">
        <v>3444.8890000000001</v>
      </c>
      <c r="AA134" s="510">
        <v>3221.8209999999999</v>
      </c>
      <c r="AB134" s="510">
        <v>2974.181</v>
      </c>
      <c r="AC134" s="510">
        <v>3025.172</v>
      </c>
      <c r="AE134" s="510">
        <v>5123.5069999999996</v>
      </c>
      <c r="AF134" s="510">
        <v>5371.8919999999998</v>
      </c>
      <c r="AG134" s="510">
        <v>5612.8739999999998</v>
      </c>
      <c r="AH134" s="510">
        <v>5805.277</v>
      </c>
      <c r="AI134" s="510">
        <v>6097.6329999999998</v>
      </c>
      <c r="AJ134" s="510">
        <v>6449.7709999999997</v>
      </c>
      <c r="AK134" s="510">
        <v>6704.05</v>
      </c>
      <c r="AL134" s="510">
        <v>6980.2030000000004</v>
      </c>
      <c r="AM134" s="510">
        <v>7366.7929999999997</v>
      </c>
      <c r="AO134" s="510">
        <v>4683.5519999999997</v>
      </c>
      <c r="AP134" s="510">
        <v>4777.107</v>
      </c>
      <c r="AQ134" s="510">
        <v>4852.0649999999996</v>
      </c>
      <c r="AR134" s="510">
        <v>4923.8969999999999</v>
      </c>
      <c r="AS134" s="510">
        <v>5072.79</v>
      </c>
      <c r="AT134" s="510">
        <v>5245.6139999999996</v>
      </c>
      <c r="AU134" s="510">
        <v>5315.9920000000002</v>
      </c>
      <c r="AV134" s="510">
        <v>5357.8490000000002</v>
      </c>
      <c r="AW134" s="510">
        <v>5619.0690000000004</v>
      </c>
      <c r="AY134" s="510">
        <v>4523.5209999999997</v>
      </c>
      <c r="AZ134" s="510">
        <v>3970.1010000000001</v>
      </c>
      <c r="BA134" s="510">
        <v>3810.364</v>
      </c>
      <c r="BB134" s="510">
        <v>3617.8580000000002</v>
      </c>
      <c r="BC134" s="510">
        <v>3715.7170000000001</v>
      </c>
      <c r="BD134" s="510">
        <v>3746.3670000000002</v>
      </c>
      <c r="BE134" s="510">
        <v>3601.7350000000001</v>
      </c>
      <c r="BF134" s="510">
        <v>3419.2139999999999</v>
      </c>
      <c r="BG134" s="510">
        <v>3494.1579999999999</v>
      </c>
      <c r="BI134" s="477" t="s">
        <v>431</v>
      </c>
    </row>
    <row r="135" spans="2:61" x14ac:dyDescent="0.2">
      <c r="B135" s="475" t="s">
        <v>699</v>
      </c>
      <c r="C135" s="472" t="s">
        <v>605</v>
      </c>
      <c r="D135" s="522" t="s">
        <v>700</v>
      </c>
      <c r="E135" s="479" t="s">
        <v>701</v>
      </c>
      <c r="F135" s="509"/>
      <c r="G135" s="510"/>
      <c r="H135" s="510"/>
      <c r="I135" s="510"/>
      <c r="K135" s="510"/>
      <c r="L135" s="510"/>
      <c r="M135" s="510"/>
      <c r="N135" s="510"/>
      <c r="O135" s="510"/>
      <c r="P135" s="510"/>
      <c r="Q135" s="510"/>
      <c r="R135" s="510"/>
      <c r="S135" s="510"/>
      <c r="U135" s="510"/>
      <c r="V135" s="510"/>
      <c r="W135" s="510"/>
      <c r="X135" s="510"/>
      <c r="Y135" s="510"/>
      <c r="Z135" s="510"/>
      <c r="AA135" s="510"/>
      <c r="AB135" s="510"/>
      <c r="AC135" s="510"/>
      <c r="AE135" s="510"/>
      <c r="AF135" s="510"/>
      <c r="AG135" s="510"/>
      <c r="AH135" s="510"/>
      <c r="AI135" s="510"/>
      <c r="AJ135" s="510"/>
      <c r="AK135" s="510"/>
      <c r="AL135" s="510"/>
      <c r="AM135" s="510"/>
      <c r="AO135" s="510"/>
      <c r="AP135" s="510"/>
      <c r="AQ135" s="510"/>
      <c r="AR135" s="510"/>
      <c r="AS135" s="510"/>
      <c r="AT135" s="510"/>
      <c r="AU135" s="510"/>
      <c r="AV135" s="510"/>
      <c r="AW135" s="510"/>
      <c r="AY135" s="510"/>
      <c r="AZ135" s="510"/>
      <c r="BA135" s="510"/>
      <c r="BB135" s="510"/>
      <c r="BC135" s="510"/>
      <c r="BD135" s="510"/>
      <c r="BE135" s="510"/>
      <c r="BF135" s="510"/>
      <c r="BG135" s="510"/>
      <c r="BI135" s="477" t="s">
        <v>431</v>
      </c>
    </row>
    <row r="136" spans="2:61" x14ac:dyDescent="0.2">
      <c r="B136" s="475" t="s">
        <v>702</v>
      </c>
      <c r="C136" s="472" t="s">
        <v>703</v>
      </c>
      <c r="D136" s="522" t="s">
        <v>704</v>
      </c>
      <c r="E136" s="479" t="s">
        <v>705</v>
      </c>
      <c r="F136" s="509">
        <v>35819.499000000003</v>
      </c>
      <c r="G136" s="510">
        <v>37342.726999999999</v>
      </c>
      <c r="H136" s="510">
        <v>37208.578000000001</v>
      </c>
      <c r="I136" s="510">
        <v>37925.618000000002</v>
      </c>
      <c r="K136" s="510">
        <v>35778.281999999999</v>
      </c>
      <c r="L136" s="510">
        <v>36180.341999999997</v>
      </c>
      <c r="M136" s="510">
        <v>35740.743000000002</v>
      </c>
      <c r="N136" s="510">
        <v>36055.703999999998</v>
      </c>
      <c r="O136" s="510">
        <v>35348.22</v>
      </c>
      <c r="P136" s="510">
        <v>36254.06</v>
      </c>
      <c r="Q136" s="510">
        <v>37103.355000000003</v>
      </c>
      <c r="R136" s="510">
        <v>37949.112999999998</v>
      </c>
      <c r="S136" s="510">
        <v>37597.981</v>
      </c>
      <c r="U136" s="510">
        <v>35194.324999999997</v>
      </c>
      <c r="V136" s="510">
        <v>35024.559999999998</v>
      </c>
      <c r="W136" s="510">
        <v>35128.81</v>
      </c>
      <c r="X136" s="510">
        <v>34847.14</v>
      </c>
      <c r="Y136" s="510">
        <v>32871.01</v>
      </c>
      <c r="Z136" s="510">
        <v>32309.591</v>
      </c>
      <c r="AA136" s="510">
        <v>31335.948</v>
      </c>
      <c r="AB136" s="510">
        <v>30565.287</v>
      </c>
      <c r="AC136" s="510">
        <v>28660.303</v>
      </c>
      <c r="AE136" s="510">
        <v>35778.281999999999</v>
      </c>
      <c r="AF136" s="510">
        <v>36180.341999999997</v>
      </c>
      <c r="AG136" s="510">
        <v>35740.743000000002</v>
      </c>
      <c r="AH136" s="510">
        <v>36055.703999999998</v>
      </c>
      <c r="AI136" s="510">
        <v>35348.22</v>
      </c>
      <c r="AJ136" s="510">
        <v>36254.06</v>
      </c>
      <c r="AK136" s="510">
        <v>37103.355000000003</v>
      </c>
      <c r="AL136" s="510">
        <v>37949.112999999998</v>
      </c>
      <c r="AM136" s="510">
        <v>37597.981</v>
      </c>
      <c r="AO136" s="510">
        <v>35694.425999999999</v>
      </c>
      <c r="AP136" s="510">
        <v>36527.642</v>
      </c>
      <c r="AQ136" s="510">
        <v>36761.663999999997</v>
      </c>
      <c r="AR136" s="510">
        <v>36702.881000000001</v>
      </c>
      <c r="AS136" s="510">
        <v>34953.436999999998</v>
      </c>
      <c r="AT136" s="510">
        <v>34699.08</v>
      </c>
      <c r="AU136" s="510">
        <v>34200.921000000002</v>
      </c>
      <c r="AV136" s="510">
        <v>33907.576000000001</v>
      </c>
      <c r="AW136" s="510">
        <v>31936.085999999999</v>
      </c>
      <c r="AY136" s="510">
        <v>35105.485000000001</v>
      </c>
      <c r="AZ136" s="510">
        <v>35401.411999999997</v>
      </c>
      <c r="BA136" s="510">
        <v>35715.517999999996</v>
      </c>
      <c r="BB136" s="510">
        <v>35227.476000000002</v>
      </c>
      <c r="BC136" s="510">
        <v>33327.847000000002</v>
      </c>
      <c r="BD136" s="510">
        <v>32793.794999999998</v>
      </c>
      <c r="BE136" s="510">
        <v>31966.988000000001</v>
      </c>
      <c r="BF136" s="510">
        <v>31227.198</v>
      </c>
      <c r="BG136" s="510">
        <v>29199.288</v>
      </c>
      <c r="BI136" s="477" t="s">
        <v>431</v>
      </c>
    </row>
    <row r="137" spans="2:61" x14ac:dyDescent="0.2">
      <c r="B137" s="475" t="s">
        <v>706</v>
      </c>
      <c r="C137" s="472" t="s">
        <v>707</v>
      </c>
      <c r="D137" s="522" t="s">
        <v>708</v>
      </c>
      <c r="E137" s="479" t="s">
        <v>709</v>
      </c>
      <c r="F137" s="509"/>
      <c r="G137" s="510"/>
      <c r="H137" s="510"/>
      <c r="I137" s="510"/>
      <c r="K137" s="510"/>
      <c r="L137" s="510"/>
      <c r="M137" s="510"/>
      <c r="N137" s="510"/>
      <c r="O137" s="510"/>
      <c r="P137" s="510"/>
      <c r="Q137" s="510"/>
      <c r="R137" s="510"/>
      <c r="S137" s="510"/>
      <c r="U137" s="510"/>
      <c r="V137" s="510"/>
      <c r="W137" s="510"/>
      <c r="X137" s="510"/>
      <c r="Y137" s="510"/>
      <c r="Z137" s="510"/>
      <c r="AA137" s="510"/>
      <c r="AB137" s="510"/>
      <c r="AC137" s="510"/>
      <c r="AE137" s="510"/>
      <c r="AF137" s="510"/>
      <c r="AG137" s="510"/>
      <c r="AH137" s="510"/>
      <c r="AI137" s="510"/>
      <c r="AJ137" s="510"/>
      <c r="AK137" s="510"/>
      <c r="AL137" s="510"/>
      <c r="AM137" s="510"/>
      <c r="AO137" s="510"/>
      <c r="AP137" s="510"/>
      <c r="AQ137" s="510"/>
      <c r="AR137" s="510"/>
      <c r="AS137" s="510"/>
      <c r="AT137" s="510"/>
      <c r="AU137" s="510"/>
      <c r="AV137" s="510"/>
      <c r="AW137" s="510"/>
      <c r="AY137" s="510"/>
      <c r="AZ137" s="510"/>
      <c r="BA137" s="510"/>
      <c r="BB137" s="510"/>
      <c r="BC137" s="510"/>
      <c r="BD137" s="510"/>
      <c r="BE137" s="510"/>
      <c r="BF137" s="510"/>
      <c r="BG137" s="510"/>
      <c r="BI137" s="477" t="s">
        <v>431</v>
      </c>
    </row>
    <row r="138" spans="2:61" x14ac:dyDescent="0.2">
      <c r="B138" s="475" t="s">
        <v>710</v>
      </c>
      <c r="C138" s="472" t="s">
        <v>711</v>
      </c>
      <c r="D138" s="522" t="s">
        <v>712</v>
      </c>
      <c r="E138" s="479" t="s">
        <v>713</v>
      </c>
      <c r="F138" s="509">
        <v>33146.610999999997</v>
      </c>
      <c r="G138" s="510">
        <v>35366.963000000003</v>
      </c>
      <c r="H138" s="510">
        <v>35814.648000000001</v>
      </c>
      <c r="I138" s="510">
        <v>35824.489000000001</v>
      </c>
      <c r="K138" s="510">
        <v>35458.938000000002</v>
      </c>
      <c r="L138" s="510">
        <v>34638.74</v>
      </c>
      <c r="M138" s="510">
        <v>34414.792000000001</v>
      </c>
      <c r="N138" s="510">
        <v>34268.661999999997</v>
      </c>
      <c r="O138" s="510">
        <v>34173.218000000001</v>
      </c>
      <c r="P138" s="510">
        <v>34310.800000000003</v>
      </c>
      <c r="Q138" s="510">
        <v>35047.142</v>
      </c>
      <c r="R138" s="510">
        <v>35814.438999999998</v>
      </c>
      <c r="S138" s="510">
        <v>36126.531000000003</v>
      </c>
      <c r="U138" s="510">
        <v>35214.326999999997</v>
      </c>
      <c r="V138" s="510">
        <v>33816.777999999998</v>
      </c>
      <c r="W138" s="510">
        <v>33476.031999999999</v>
      </c>
      <c r="X138" s="510">
        <v>33239.74</v>
      </c>
      <c r="Y138" s="510">
        <v>32295.967000000001</v>
      </c>
      <c r="Z138" s="510">
        <v>31228.58</v>
      </c>
      <c r="AA138" s="510">
        <v>30599.37</v>
      </c>
      <c r="AB138" s="510">
        <v>29996.042000000001</v>
      </c>
      <c r="AC138" s="510">
        <v>28972.112000000001</v>
      </c>
      <c r="AE138" s="510">
        <v>35458.938000000002</v>
      </c>
      <c r="AF138" s="510">
        <v>34638.74</v>
      </c>
      <c r="AG138" s="510">
        <v>34414.792000000001</v>
      </c>
      <c r="AH138" s="510">
        <v>34268.661999999997</v>
      </c>
      <c r="AI138" s="510">
        <v>34173.218000000001</v>
      </c>
      <c r="AJ138" s="510">
        <v>34310.800000000003</v>
      </c>
      <c r="AK138" s="510">
        <v>35047.142</v>
      </c>
      <c r="AL138" s="510">
        <v>35814.438999999998</v>
      </c>
      <c r="AM138" s="510">
        <v>36126.531000000003</v>
      </c>
      <c r="AO138" s="510">
        <v>35412.192000000003</v>
      </c>
      <c r="AP138" s="510">
        <v>34736.021999999997</v>
      </c>
      <c r="AQ138" s="510">
        <v>35046.991999999998</v>
      </c>
      <c r="AR138" s="510">
        <v>35102.542000000001</v>
      </c>
      <c r="AS138" s="510">
        <v>34400.955999999998</v>
      </c>
      <c r="AT138" s="510">
        <v>33543.517999999996</v>
      </c>
      <c r="AU138" s="510">
        <v>33134.322999999997</v>
      </c>
      <c r="AV138" s="510">
        <v>32774.620000000003</v>
      </c>
      <c r="AW138" s="510">
        <v>31808.081999999999</v>
      </c>
      <c r="AY138" s="510">
        <v>35125.224000000002</v>
      </c>
      <c r="AZ138" s="510">
        <v>33859.682000000001</v>
      </c>
      <c r="BA138" s="510">
        <v>33895.712</v>
      </c>
      <c r="BB138" s="510">
        <v>33765.796999999999</v>
      </c>
      <c r="BC138" s="510">
        <v>32826.862999999998</v>
      </c>
      <c r="BD138" s="510">
        <v>31805.067999999999</v>
      </c>
      <c r="BE138" s="510">
        <v>31088.285</v>
      </c>
      <c r="BF138" s="510">
        <v>30390.608</v>
      </c>
      <c r="BG138" s="510">
        <v>29237.973000000002</v>
      </c>
      <c r="BI138" s="477" t="s">
        <v>431</v>
      </c>
    </row>
    <row r="139" spans="2:61" x14ac:dyDescent="0.2">
      <c r="B139" s="475"/>
      <c r="D139" s="522" t="s">
        <v>371</v>
      </c>
    </row>
    <row r="140" spans="2:61" x14ac:dyDescent="0.2">
      <c r="B140" s="475" t="s">
        <v>714</v>
      </c>
      <c r="C140" s="472" t="s">
        <v>715</v>
      </c>
      <c r="D140" s="522" t="s">
        <v>716</v>
      </c>
      <c r="E140" s="479" t="s">
        <v>717</v>
      </c>
      <c r="F140" s="523">
        <v>0.10102514275813899</v>
      </c>
      <c r="G140" s="524">
        <v>0.10750511070067301</v>
      </c>
      <c r="H140" s="524">
        <v>0.11144392564531801</v>
      </c>
      <c r="I140" s="524">
        <v>0.111222736040847</v>
      </c>
      <c r="K140" s="523">
        <v>0.129756733428397</v>
      </c>
      <c r="L140" s="524">
        <v>0.135021028822779</v>
      </c>
      <c r="M140" s="524">
        <v>0.143617355688437</v>
      </c>
      <c r="N140" s="524">
        <v>0.14760951554294999</v>
      </c>
      <c r="O140" s="523">
        <v>0.15908260727131401</v>
      </c>
      <c r="P140" s="524">
        <v>0.16447559252673999</v>
      </c>
      <c r="Q140" s="524">
        <v>0.16725581824069499</v>
      </c>
      <c r="R140" s="524">
        <v>0.17051320804257</v>
      </c>
      <c r="S140" s="524">
        <v>0.18249120876996</v>
      </c>
      <c r="U140" s="523">
        <v>0.114481951280498</v>
      </c>
      <c r="V140" s="524">
        <v>0.101675138816876</v>
      </c>
      <c r="W140" s="524">
        <v>9.1635071042827795E-2</v>
      </c>
      <c r="X140" s="524">
        <v>8.5025801256573705E-2</v>
      </c>
      <c r="Y140" s="523">
        <v>8.9901709743631195E-2</v>
      </c>
      <c r="Z140" s="524">
        <v>9.2945497205458305E-2</v>
      </c>
      <c r="AA140" s="524">
        <v>8.9154922008422996E-2</v>
      </c>
      <c r="AB140" s="524">
        <v>8.3669785269806202E-2</v>
      </c>
      <c r="AC140" s="524">
        <v>9.18949112296545E-2</v>
      </c>
      <c r="AE140" s="523">
        <v>0.129756733428397</v>
      </c>
      <c r="AF140" s="524">
        <v>0.135021028822779</v>
      </c>
      <c r="AG140" s="524">
        <v>0.143617355688437</v>
      </c>
      <c r="AH140" s="524">
        <v>0.14760951554294999</v>
      </c>
      <c r="AI140" s="523">
        <v>0.15908260727131401</v>
      </c>
      <c r="AJ140" s="524">
        <v>0.16447559252673999</v>
      </c>
      <c r="AK140" s="524">
        <v>0.16725581824069499</v>
      </c>
      <c r="AL140" s="524">
        <v>0.17051320804257</v>
      </c>
      <c r="AM140" s="524">
        <v>0.18249120876996</v>
      </c>
      <c r="AO140" s="523">
        <v>0.11755958759499301</v>
      </c>
      <c r="AP140" s="524">
        <v>0.117118564620185</v>
      </c>
      <c r="AQ140" s="524">
        <v>0.11840680008391399</v>
      </c>
      <c r="AR140" s="524">
        <v>0.120705047650074</v>
      </c>
      <c r="AS140" s="523">
        <v>0.13167331727635301</v>
      </c>
      <c r="AT140" s="524">
        <v>0.137709213039654</v>
      </c>
      <c r="AU140" s="524">
        <v>0.141971322936011</v>
      </c>
      <c r="AV140" s="524">
        <v>0.144570493626557</v>
      </c>
      <c r="AW140" s="524">
        <v>0.162479772881373</v>
      </c>
      <c r="AY140" s="523">
        <v>0.115129786698574</v>
      </c>
      <c r="AZ140" s="524">
        <v>9.8112103551123903E-2</v>
      </c>
      <c r="BA140" s="524">
        <v>9.27686391108761E-2</v>
      </c>
      <c r="BB140" s="524">
        <v>8.8933507470134995E-2</v>
      </c>
      <c r="BC140" s="523">
        <v>9.7822580618544E-2</v>
      </c>
      <c r="BD140" s="524">
        <v>0.10057591687695799</v>
      </c>
      <c r="BE140" s="524">
        <v>9.9015240347323299E-2</v>
      </c>
      <c r="BF140" s="524">
        <v>9.5866846586747906E-2</v>
      </c>
      <c r="BG140" s="524">
        <v>0.106015187767592</v>
      </c>
      <c r="BI140" s="477" t="s">
        <v>431</v>
      </c>
    </row>
    <row r="141" spans="2:61" x14ac:dyDescent="0.2">
      <c r="B141" s="475" t="s">
        <v>718</v>
      </c>
      <c r="C141" s="472" t="s">
        <v>719</v>
      </c>
      <c r="D141" s="522" t="s">
        <v>720</v>
      </c>
      <c r="E141" s="479" t="s">
        <v>721</v>
      </c>
      <c r="F141" s="523"/>
      <c r="G141" s="524"/>
      <c r="H141" s="524"/>
      <c r="I141" s="524"/>
      <c r="K141" s="523"/>
      <c r="L141" s="524"/>
      <c r="M141" s="524"/>
      <c r="N141" s="524"/>
      <c r="O141" s="523"/>
      <c r="P141" s="524"/>
      <c r="Q141" s="524"/>
      <c r="R141" s="524"/>
      <c r="S141" s="524"/>
      <c r="U141" s="523"/>
      <c r="V141" s="524"/>
      <c r="W141" s="524"/>
      <c r="X141" s="524"/>
      <c r="Y141" s="523"/>
      <c r="Z141" s="524"/>
      <c r="AA141" s="524"/>
      <c r="AB141" s="524"/>
      <c r="AC141" s="524"/>
      <c r="AE141" s="523"/>
      <c r="AF141" s="524"/>
      <c r="AG141" s="524"/>
      <c r="AH141" s="524"/>
      <c r="AI141" s="523"/>
      <c r="AJ141" s="524"/>
      <c r="AK141" s="524"/>
      <c r="AL141" s="524"/>
      <c r="AM141" s="524"/>
      <c r="AO141" s="523"/>
      <c r="AP141" s="524"/>
      <c r="AQ141" s="524"/>
      <c r="AR141" s="524"/>
      <c r="AS141" s="523"/>
      <c r="AT141" s="524"/>
      <c r="AU141" s="524"/>
      <c r="AV141" s="524"/>
      <c r="AW141" s="524"/>
      <c r="AY141" s="523"/>
      <c r="AZ141" s="524"/>
      <c r="BA141" s="524"/>
      <c r="BB141" s="524"/>
      <c r="BC141" s="523"/>
      <c r="BD141" s="524"/>
      <c r="BE141" s="524"/>
      <c r="BF141" s="524"/>
      <c r="BG141" s="524"/>
      <c r="BI141" s="477" t="s">
        <v>431</v>
      </c>
    </row>
    <row r="142" spans="2:61" x14ac:dyDescent="0.2">
      <c r="B142" s="475" t="s">
        <v>722</v>
      </c>
      <c r="C142" s="472" t="s">
        <v>723</v>
      </c>
      <c r="D142" s="522" t="s">
        <v>724</v>
      </c>
      <c r="E142" s="479" t="s">
        <v>725</v>
      </c>
      <c r="F142" s="523">
        <v>0.10102514275813899</v>
      </c>
      <c r="G142" s="524">
        <v>0.10750511070067301</v>
      </c>
      <c r="H142" s="524">
        <v>0.11144392564531801</v>
      </c>
      <c r="I142" s="524">
        <v>0.111222736040847</v>
      </c>
      <c r="K142" s="523">
        <v>0.129756733428397</v>
      </c>
      <c r="L142" s="524">
        <v>0.135021028822779</v>
      </c>
      <c r="M142" s="524">
        <v>0.143617355688437</v>
      </c>
      <c r="N142" s="524">
        <v>0.14760951554294999</v>
      </c>
      <c r="O142" s="523">
        <v>0.15908260727131401</v>
      </c>
      <c r="P142" s="524">
        <v>0.16447559252673999</v>
      </c>
      <c r="Q142" s="524">
        <v>0.16725581824069499</v>
      </c>
      <c r="R142" s="524">
        <v>0.17051320804257</v>
      </c>
      <c r="S142" s="524">
        <v>0.18249120876996</v>
      </c>
      <c r="U142" s="523">
        <v>0.114481951280498</v>
      </c>
      <c r="V142" s="524">
        <v>0.101675138816876</v>
      </c>
      <c r="W142" s="524">
        <v>9.1635071042827795E-2</v>
      </c>
      <c r="X142" s="524">
        <v>8.5025801256573705E-2</v>
      </c>
      <c r="Y142" s="523">
        <v>8.9901709743631195E-2</v>
      </c>
      <c r="Z142" s="524">
        <v>9.2945497205458305E-2</v>
      </c>
      <c r="AA142" s="524">
        <v>8.9154922008422996E-2</v>
      </c>
      <c r="AB142" s="524">
        <v>8.3669785269806202E-2</v>
      </c>
      <c r="AC142" s="524">
        <v>9.18949112296545E-2</v>
      </c>
      <c r="AE142" s="523">
        <v>0.129756733428397</v>
      </c>
      <c r="AF142" s="524">
        <v>0.135021028822779</v>
      </c>
      <c r="AG142" s="524">
        <v>0.143617355688437</v>
      </c>
      <c r="AH142" s="524">
        <v>0.14760951554294999</v>
      </c>
      <c r="AI142" s="523">
        <v>0.15908260727131401</v>
      </c>
      <c r="AJ142" s="524">
        <v>0.16447559252673999</v>
      </c>
      <c r="AK142" s="524">
        <v>0.16725581824069499</v>
      </c>
      <c r="AL142" s="524">
        <v>0.17051320804257</v>
      </c>
      <c r="AM142" s="524">
        <v>0.18249120876996</v>
      </c>
      <c r="AO142" s="523">
        <v>0.11755958759499301</v>
      </c>
      <c r="AP142" s="524">
        <v>0.117118564620185</v>
      </c>
      <c r="AQ142" s="524">
        <v>0.11840680008391399</v>
      </c>
      <c r="AR142" s="524">
        <v>0.120705047650074</v>
      </c>
      <c r="AS142" s="523">
        <v>0.13167331727635301</v>
      </c>
      <c r="AT142" s="524">
        <v>0.137709213039654</v>
      </c>
      <c r="AU142" s="524">
        <v>0.141971322936011</v>
      </c>
      <c r="AV142" s="524">
        <v>0.144570493626557</v>
      </c>
      <c r="AW142" s="524">
        <v>0.162479772881373</v>
      </c>
      <c r="AY142" s="523">
        <v>0.115129786698574</v>
      </c>
      <c r="AZ142" s="524">
        <v>9.8112103551123903E-2</v>
      </c>
      <c r="BA142" s="524">
        <v>9.27686391108761E-2</v>
      </c>
      <c r="BB142" s="524">
        <v>8.8933507470134995E-2</v>
      </c>
      <c r="BC142" s="523">
        <v>9.7822580618544E-2</v>
      </c>
      <c r="BD142" s="524">
        <v>0.10057591687695799</v>
      </c>
      <c r="BE142" s="524">
        <v>9.9015240347323299E-2</v>
      </c>
      <c r="BF142" s="524">
        <v>9.5866846586747906E-2</v>
      </c>
      <c r="BG142" s="524">
        <v>0.106015187767592</v>
      </c>
      <c r="BI142" s="477" t="s">
        <v>431</v>
      </c>
    </row>
    <row r="143" spans="2:61" x14ac:dyDescent="0.2">
      <c r="B143" s="475" t="s">
        <v>726</v>
      </c>
      <c r="C143" s="472" t="s">
        <v>727</v>
      </c>
      <c r="D143" s="522" t="s">
        <v>728</v>
      </c>
      <c r="E143" s="479" t="s">
        <v>729</v>
      </c>
      <c r="F143" s="523"/>
      <c r="G143" s="524"/>
      <c r="H143" s="524"/>
      <c r="I143" s="524"/>
      <c r="K143" s="523"/>
      <c r="L143" s="524"/>
      <c r="M143" s="524"/>
      <c r="N143" s="524"/>
      <c r="O143" s="523"/>
      <c r="P143" s="524"/>
      <c r="Q143" s="524"/>
      <c r="R143" s="524"/>
      <c r="S143" s="524"/>
      <c r="U143" s="523"/>
      <c r="V143" s="524"/>
      <c r="W143" s="524"/>
      <c r="X143" s="524"/>
      <c r="Y143" s="523"/>
      <c r="Z143" s="524"/>
      <c r="AA143" s="524"/>
      <c r="AB143" s="524"/>
      <c r="AC143" s="524"/>
      <c r="AE143" s="523"/>
      <c r="AF143" s="524"/>
      <c r="AG143" s="524"/>
      <c r="AH143" s="524"/>
      <c r="AI143" s="523"/>
      <c r="AJ143" s="524"/>
      <c r="AK143" s="524"/>
      <c r="AL143" s="524"/>
      <c r="AM143" s="524"/>
      <c r="AO143" s="523"/>
      <c r="AP143" s="524"/>
      <c r="AQ143" s="524"/>
      <c r="AR143" s="524"/>
      <c r="AS143" s="523"/>
      <c r="AT143" s="524"/>
      <c r="AU143" s="524"/>
      <c r="AV143" s="524"/>
      <c r="AW143" s="524"/>
      <c r="AY143" s="523"/>
      <c r="AZ143" s="524"/>
      <c r="BA143" s="524"/>
      <c r="BB143" s="524"/>
      <c r="BC143" s="523"/>
      <c r="BD143" s="524"/>
      <c r="BE143" s="524"/>
      <c r="BF143" s="524"/>
      <c r="BG143" s="524"/>
      <c r="BI143" s="477" t="s">
        <v>431</v>
      </c>
    </row>
    <row r="144" spans="2:61" x14ac:dyDescent="0.2">
      <c r="B144" s="475" t="s">
        <v>730</v>
      </c>
      <c r="C144" s="472" t="s">
        <v>731</v>
      </c>
      <c r="D144" s="522" t="s">
        <v>732</v>
      </c>
      <c r="E144" s="479" t="s">
        <v>733</v>
      </c>
      <c r="F144" s="523">
        <v>0.114471299556702</v>
      </c>
      <c r="G144" s="524">
        <v>0.121018127907477</v>
      </c>
      <c r="H144" s="524">
        <v>0.124842503387257</v>
      </c>
      <c r="I144" s="524">
        <v>0.124645885467179</v>
      </c>
      <c r="K144" s="523">
        <v>0.143201593637168</v>
      </c>
      <c r="L144" s="524">
        <v>0.148475434532929</v>
      </c>
      <c r="M144" s="524">
        <v>0.15704413307803899</v>
      </c>
      <c r="N144" s="524">
        <v>0.161008560531782</v>
      </c>
      <c r="O144" s="523">
        <v>0.17250184026239501</v>
      </c>
      <c r="P144" s="524">
        <v>0.177904791904686</v>
      </c>
      <c r="Q144" s="524">
        <v>0.18068581668692801</v>
      </c>
      <c r="R144" s="524">
        <v>0.18393586695952599</v>
      </c>
      <c r="S144" s="524">
        <v>0.19593586687540501</v>
      </c>
      <c r="U144" s="523">
        <v>0.12821209101183201</v>
      </c>
      <c r="V144" s="524">
        <v>0.1157232524834</v>
      </c>
      <c r="W144" s="524">
        <v>0.10569740335639</v>
      </c>
      <c r="X144" s="524">
        <v>9.8930443072229104E-2</v>
      </c>
      <c r="Y144" s="523">
        <v>0.103697513401627</v>
      </c>
      <c r="Z144" s="524">
        <v>0.106621250637311</v>
      </c>
      <c r="AA144" s="524">
        <v>0.102815494843175</v>
      </c>
      <c r="AB144" s="524">
        <v>9.7305842408743001E-2</v>
      </c>
      <c r="AC144" s="524">
        <v>0.105552687283174</v>
      </c>
      <c r="AE144" s="523">
        <v>0.143201593637168</v>
      </c>
      <c r="AF144" s="524">
        <v>0.148475434532929</v>
      </c>
      <c r="AG144" s="524">
        <v>0.15704413307803899</v>
      </c>
      <c r="AH144" s="524">
        <v>0.161008560531782</v>
      </c>
      <c r="AI144" s="523">
        <v>0.17250184026239501</v>
      </c>
      <c r="AJ144" s="524">
        <v>0.177904791904686</v>
      </c>
      <c r="AK144" s="524">
        <v>0.18068581668692801</v>
      </c>
      <c r="AL144" s="524">
        <v>0.18393586695952599</v>
      </c>
      <c r="AM144" s="524">
        <v>0.19593586687540501</v>
      </c>
      <c r="AO144" s="523">
        <v>0.13121241955256499</v>
      </c>
      <c r="AP144" s="524">
        <v>0.13078060171527101</v>
      </c>
      <c r="AQ144" s="524">
        <v>0.13198708850611299</v>
      </c>
      <c r="AR144" s="524">
        <v>0.134155599392865</v>
      </c>
      <c r="AS144" s="523">
        <v>0.14512993386029499</v>
      </c>
      <c r="AT144" s="524">
        <v>0.15117444035980199</v>
      </c>
      <c r="AU144" s="524">
        <v>0.15543417675798801</v>
      </c>
      <c r="AV144" s="524">
        <v>0.158013330118319</v>
      </c>
      <c r="AW144" s="524">
        <v>0.17594732804765101</v>
      </c>
      <c r="AY144" s="523">
        <v>0.12885510626046001</v>
      </c>
      <c r="AZ144" s="524">
        <v>0.112145272623589</v>
      </c>
      <c r="BA144" s="524">
        <v>0.106686510888628</v>
      </c>
      <c r="BB144" s="524">
        <v>0.102699892549781</v>
      </c>
      <c r="BC144" s="523">
        <v>0.11148986011607601</v>
      </c>
      <c r="BD144" s="524">
        <v>0.114240117680799</v>
      </c>
      <c r="BE144" s="524">
        <v>0.112670452405463</v>
      </c>
      <c r="BF144" s="524">
        <v>0.109494742371698</v>
      </c>
      <c r="BG144" s="524">
        <v>0.11966586308542899</v>
      </c>
      <c r="BI144" s="477" t="s">
        <v>431</v>
      </c>
    </row>
    <row r="145" spans="2:61" x14ac:dyDescent="0.2">
      <c r="B145" s="475" t="s">
        <v>734</v>
      </c>
      <c r="C145" s="472" t="s">
        <v>735</v>
      </c>
      <c r="D145" s="522" t="s">
        <v>736</v>
      </c>
      <c r="E145" s="479" t="s">
        <v>737</v>
      </c>
      <c r="F145" s="523"/>
      <c r="G145" s="524"/>
      <c r="H145" s="524"/>
      <c r="I145" s="524"/>
      <c r="K145" s="523"/>
      <c r="L145" s="524"/>
      <c r="M145" s="524"/>
      <c r="N145" s="524"/>
      <c r="O145" s="523"/>
      <c r="P145" s="524"/>
      <c r="Q145" s="524"/>
      <c r="R145" s="524"/>
      <c r="S145" s="524"/>
      <c r="U145" s="523"/>
      <c r="V145" s="524"/>
      <c r="W145" s="524"/>
      <c r="X145" s="524"/>
      <c r="Y145" s="523"/>
      <c r="Z145" s="524"/>
      <c r="AA145" s="524"/>
      <c r="AB145" s="524"/>
      <c r="AC145" s="524"/>
      <c r="AE145" s="523"/>
      <c r="AF145" s="524"/>
      <c r="AG145" s="524"/>
      <c r="AH145" s="524"/>
      <c r="AI145" s="523"/>
      <c r="AJ145" s="524"/>
      <c r="AK145" s="524"/>
      <c r="AL145" s="524"/>
      <c r="AM145" s="524"/>
      <c r="AO145" s="523"/>
      <c r="AP145" s="524"/>
      <c r="AQ145" s="524"/>
      <c r="AR145" s="524"/>
      <c r="AS145" s="523"/>
      <c r="AT145" s="524"/>
      <c r="AU145" s="524"/>
      <c r="AV145" s="524"/>
      <c r="AW145" s="524"/>
      <c r="AY145" s="523"/>
      <c r="AZ145" s="524"/>
      <c r="BA145" s="524"/>
      <c r="BB145" s="524"/>
      <c r="BC145" s="523"/>
      <c r="BD145" s="524"/>
      <c r="BE145" s="524"/>
      <c r="BF145" s="524"/>
      <c r="BG145" s="524"/>
      <c r="BI145" s="477" t="s">
        <v>431</v>
      </c>
    </row>
    <row r="146" spans="2:61" x14ac:dyDescent="0.2">
      <c r="B146" s="475" t="s">
        <v>738</v>
      </c>
      <c r="C146" s="472" t="s">
        <v>739</v>
      </c>
      <c r="D146" s="522" t="s">
        <v>740</v>
      </c>
      <c r="E146" s="479" t="s">
        <v>741</v>
      </c>
      <c r="F146" s="523">
        <v>0.109171643520359</v>
      </c>
      <c r="G146" s="524">
        <v>0.113510849093828</v>
      </c>
      <c r="H146" s="524">
        <v>0.11578139760022201</v>
      </c>
      <c r="I146" s="524">
        <v>0.11774602004790601</v>
      </c>
      <c r="K146" s="523">
        <v>0.13092532551313299</v>
      </c>
      <c r="L146" s="524">
        <v>0.14103015871824401</v>
      </c>
      <c r="M146" s="524">
        <v>0.149150719841631</v>
      </c>
      <c r="N146" s="524">
        <v>0.155307055758407</v>
      </c>
      <c r="O146" s="523">
        <v>0.16455245742440799</v>
      </c>
      <c r="P146" s="524">
        <v>0.173790992923511</v>
      </c>
      <c r="Q146" s="524">
        <v>0.17706870363352301</v>
      </c>
      <c r="R146" s="524">
        <v>0.180676430531273</v>
      </c>
      <c r="S146" s="524">
        <v>0.189924158508327</v>
      </c>
      <c r="U146" s="523">
        <v>0.114416924679549</v>
      </c>
      <c r="V146" s="524">
        <v>0.10530651382577</v>
      </c>
      <c r="W146" s="524">
        <v>9.6159275985875495E-2</v>
      </c>
      <c r="X146" s="524">
        <v>8.9137460160639004E-2</v>
      </c>
      <c r="Y146" s="523">
        <v>9.1502446729648898E-2</v>
      </c>
      <c r="Z146" s="524">
        <v>9.6162905902221596E-2</v>
      </c>
      <c r="AA146" s="524">
        <v>9.1301030053886706E-2</v>
      </c>
      <c r="AB146" s="524">
        <v>8.5257614988004105E-2</v>
      </c>
      <c r="AC146" s="524">
        <v>9.0905902890338106E-2</v>
      </c>
      <c r="AE146" s="523">
        <v>0.13092532551313299</v>
      </c>
      <c r="AF146" s="524">
        <v>0.14103015871824401</v>
      </c>
      <c r="AG146" s="524">
        <v>0.149150719841631</v>
      </c>
      <c r="AH146" s="524">
        <v>0.155307055758407</v>
      </c>
      <c r="AI146" s="523">
        <v>0.16455245742440799</v>
      </c>
      <c r="AJ146" s="524">
        <v>0.173790992923511</v>
      </c>
      <c r="AK146" s="524">
        <v>0.17706870363352301</v>
      </c>
      <c r="AL146" s="524">
        <v>0.180676430531273</v>
      </c>
      <c r="AM146" s="524">
        <v>0.189924158508327</v>
      </c>
      <c r="AO146" s="523">
        <v>0.118496533623222</v>
      </c>
      <c r="AP146" s="524">
        <v>0.123159324346351</v>
      </c>
      <c r="AQ146" s="524">
        <v>0.12419984573854401</v>
      </c>
      <c r="AR146" s="524">
        <v>0.12620803929242499</v>
      </c>
      <c r="AS146" s="523">
        <v>0.13378799705450001</v>
      </c>
      <c r="AT146" s="524">
        <v>0.14245324536323201</v>
      </c>
      <c r="AU146" s="524">
        <v>0.146541397571334</v>
      </c>
      <c r="AV146" s="524">
        <v>0.14956801940037801</v>
      </c>
      <c r="AW146" s="524">
        <v>0.16313363377269999</v>
      </c>
      <c r="AY146" s="523">
        <v>0.11506508826819201</v>
      </c>
      <c r="AZ146" s="524">
        <v>0.102579433557586</v>
      </c>
      <c r="BA146" s="524">
        <v>9.7749237425666102E-2</v>
      </c>
      <c r="BB146" s="524">
        <v>9.2783327460032997E-2</v>
      </c>
      <c r="BC146" s="523">
        <v>9.9315490487165994E-2</v>
      </c>
      <c r="BD146" s="524">
        <v>0.10370252942078299</v>
      </c>
      <c r="BE146" s="524">
        <v>0.101813882624918</v>
      </c>
      <c r="BF146" s="524">
        <v>9.8505860758034205E-2</v>
      </c>
      <c r="BG146" s="524">
        <v>0.10587491820995901</v>
      </c>
      <c r="BI146" s="477" t="s">
        <v>431</v>
      </c>
    </row>
    <row r="147" spans="2:61" x14ac:dyDescent="0.2">
      <c r="B147" s="475"/>
    </row>
    <row r="148" spans="2:61" x14ac:dyDescent="0.2">
      <c r="B148" s="475"/>
    </row>
    <row r="149" spans="2:61" x14ac:dyDescent="0.2">
      <c r="B149" s="475"/>
    </row>
    <row r="150" spans="2:61" x14ac:dyDescent="0.2">
      <c r="B150" s="475"/>
    </row>
    <row r="151" spans="2:61" x14ac:dyDescent="0.2">
      <c r="B151" s="475"/>
    </row>
    <row r="152" spans="2:61" x14ac:dyDescent="0.2">
      <c r="B152" s="475"/>
    </row>
    <row r="153" spans="2:61" x14ac:dyDescent="0.2">
      <c r="B153" s="475"/>
    </row>
    <row r="154" spans="2:61" x14ac:dyDescent="0.2">
      <c r="B154" s="475"/>
    </row>
    <row r="155" spans="2:61" x14ac:dyDescent="0.2">
      <c r="B155" s="475"/>
    </row>
    <row r="156" spans="2:61" x14ac:dyDescent="0.2">
      <c r="B156" s="475"/>
    </row>
    <row r="157" spans="2:61" x14ac:dyDescent="0.2">
      <c r="B157" s="475"/>
    </row>
    <row r="158" spans="2:61" x14ac:dyDescent="0.2">
      <c r="B158" s="475"/>
    </row>
    <row r="159" spans="2:61" x14ac:dyDescent="0.2">
      <c r="B159" s="475"/>
    </row>
    <row r="160" spans="2:61" x14ac:dyDescent="0.2">
      <c r="B160" s="475"/>
    </row>
    <row r="161" spans="2:2" x14ac:dyDescent="0.2">
      <c r="B161" s="475"/>
    </row>
    <row r="162" spans="2:2" x14ac:dyDescent="0.2">
      <c r="B162" s="475"/>
    </row>
    <row r="163" spans="2:2" x14ac:dyDescent="0.2">
      <c r="B163" s="475"/>
    </row>
    <row r="164" spans="2:2" x14ac:dyDescent="0.2">
      <c r="B164" s="475"/>
    </row>
    <row r="165" spans="2:2" x14ac:dyDescent="0.2">
      <c r="B165" s="475"/>
    </row>
    <row r="166" spans="2:2" x14ac:dyDescent="0.2">
      <c r="B166" s="475"/>
    </row>
    <row r="167" spans="2:2" x14ac:dyDescent="0.2">
      <c r="B167" s="475"/>
    </row>
    <row r="168" spans="2:2" x14ac:dyDescent="0.2">
      <c r="B168" s="475"/>
    </row>
    <row r="169" spans="2:2" x14ac:dyDescent="0.2">
      <c r="B169" s="475"/>
    </row>
    <row r="170" spans="2:2" x14ac:dyDescent="0.2">
      <c r="B170" s="475"/>
    </row>
    <row r="171" spans="2:2" x14ac:dyDescent="0.2">
      <c r="B171" s="475"/>
    </row>
    <row r="172" spans="2:2" x14ac:dyDescent="0.2">
      <c r="B172" s="475"/>
    </row>
    <row r="173" spans="2:2" x14ac:dyDescent="0.2">
      <c r="B173" s="475"/>
    </row>
    <row r="174" spans="2:2" x14ac:dyDescent="0.2">
      <c r="B174" s="475"/>
    </row>
    <row r="175" spans="2:2" x14ac:dyDescent="0.2">
      <c r="B175" s="475"/>
    </row>
    <row r="176" spans="2:2" x14ac:dyDescent="0.2">
      <c r="B176" s="475"/>
    </row>
    <row r="177" spans="2:2" x14ac:dyDescent="0.2">
      <c r="B177" s="475"/>
    </row>
    <row r="178" spans="2:2" x14ac:dyDescent="0.2">
      <c r="B178" s="475"/>
    </row>
    <row r="179" spans="2:2" x14ac:dyDescent="0.2">
      <c r="B179" s="475"/>
    </row>
    <row r="180" spans="2:2" x14ac:dyDescent="0.2">
      <c r="B180" s="475"/>
    </row>
    <row r="181" spans="2:2" x14ac:dyDescent="0.2">
      <c r="B181" s="475"/>
    </row>
    <row r="182" spans="2:2" x14ac:dyDescent="0.2">
      <c r="B182" s="475"/>
    </row>
    <row r="183" spans="2:2" x14ac:dyDescent="0.2">
      <c r="B183" s="475"/>
    </row>
    <row r="184" spans="2:2" x14ac:dyDescent="0.2">
      <c r="B184" s="475"/>
    </row>
    <row r="185" spans="2:2" x14ac:dyDescent="0.2">
      <c r="B185" s="475"/>
    </row>
    <row r="186" spans="2:2" x14ac:dyDescent="0.2">
      <c r="B186" s="475"/>
    </row>
    <row r="187" spans="2:2" x14ac:dyDescent="0.2">
      <c r="B187" s="475"/>
    </row>
    <row r="188" spans="2:2" x14ac:dyDescent="0.2">
      <c r="B188" s="475"/>
    </row>
    <row r="189" spans="2:2" x14ac:dyDescent="0.2">
      <c r="B189" s="475"/>
    </row>
    <row r="190" spans="2:2" x14ac:dyDescent="0.2">
      <c r="B190" s="475"/>
    </row>
    <row r="191" spans="2:2" x14ac:dyDescent="0.2">
      <c r="B191" s="475"/>
    </row>
    <row r="192" spans="2:2" x14ac:dyDescent="0.2">
      <c r="B192" s="475"/>
    </row>
    <row r="193" spans="2:2" x14ac:dyDescent="0.2">
      <c r="B193" s="475"/>
    </row>
    <row r="194" spans="2:2" x14ac:dyDescent="0.2">
      <c r="B194" s="475"/>
    </row>
    <row r="195" spans="2:2" x14ac:dyDescent="0.2">
      <c r="B195" s="475"/>
    </row>
    <row r="196" spans="2:2" x14ac:dyDescent="0.2">
      <c r="B196" s="475"/>
    </row>
    <row r="197" spans="2:2" x14ac:dyDescent="0.2">
      <c r="B197" s="475"/>
    </row>
    <row r="198" spans="2:2" x14ac:dyDescent="0.2">
      <c r="B198" s="475"/>
    </row>
    <row r="199" spans="2:2" x14ac:dyDescent="0.2">
      <c r="B199" s="475"/>
    </row>
    <row r="200" spans="2:2" x14ac:dyDescent="0.2">
      <c r="B200" s="475"/>
    </row>
    <row r="201" spans="2:2" x14ac:dyDescent="0.2">
      <c r="B201" s="475"/>
    </row>
    <row r="202" spans="2:2" x14ac:dyDescent="0.2">
      <c r="B202" s="475"/>
    </row>
    <row r="203" spans="2:2" x14ac:dyDescent="0.2">
      <c r="B203" s="475"/>
    </row>
    <row r="204" spans="2:2" x14ac:dyDescent="0.2">
      <c r="B204" s="475"/>
    </row>
    <row r="205" spans="2:2" x14ac:dyDescent="0.2">
      <c r="B205" s="475"/>
    </row>
    <row r="206" spans="2:2" x14ac:dyDescent="0.2">
      <c r="B206" s="475"/>
    </row>
    <row r="207" spans="2:2" x14ac:dyDescent="0.2">
      <c r="B207" s="475"/>
    </row>
    <row r="208" spans="2:2" x14ac:dyDescent="0.2">
      <c r="B208" s="475"/>
    </row>
    <row r="209" spans="2:2" x14ac:dyDescent="0.2">
      <c r="B209" s="475"/>
    </row>
    <row r="210" spans="2:2" x14ac:dyDescent="0.2">
      <c r="B210" s="475"/>
    </row>
    <row r="211" spans="2:2" x14ac:dyDescent="0.2">
      <c r="B211" s="475"/>
    </row>
    <row r="212" spans="2:2" x14ac:dyDescent="0.2">
      <c r="B212" s="475"/>
    </row>
    <row r="213" spans="2:2" x14ac:dyDescent="0.2">
      <c r="B213" s="475"/>
    </row>
    <row r="214" spans="2:2" x14ac:dyDescent="0.2">
      <c r="B214" s="475"/>
    </row>
    <row r="215" spans="2:2" x14ac:dyDescent="0.2">
      <c r="B215" s="475"/>
    </row>
    <row r="216" spans="2:2" x14ac:dyDescent="0.2">
      <c r="B216" s="475"/>
    </row>
    <row r="217" spans="2:2" x14ac:dyDescent="0.2">
      <c r="B217" s="475"/>
    </row>
    <row r="218" spans="2:2" x14ac:dyDescent="0.2">
      <c r="B218" s="475"/>
    </row>
    <row r="219" spans="2:2" x14ac:dyDescent="0.2">
      <c r="B219" s="475"/>
    </row>
    <row r="220" spans="2:2" x14ac:dyDescent="0.2">
      <c r="B220" s="475"/>
    </row>
    <row r="221" spans="2:2" x14ac:dyDescent="0.2">
      <c r="B221" s="475"/>
    </row>
    <row r="222" spans="2:2" x14ac:dyDescent="0.2">
      <c r="B222" s="475"/>
    </row>
    <row r="223" spans="2:2" x14ac:dyDescent="0.2">
      <c r="B223" s="475"/>
    </row>
    <row r="224" spans="2:2" x14ac:dyDescent="0.2">
      <c r="B224" s="475"/>
    </row>
    <row r="225" spans="2:2" x14ac:dyDescent="0.2">
      <c r="B225" s="475"/>
    </row>
    <row r="226" spans="2:2" x14ac:dyDescent="0.2">
      <c r="B226" s="475"/>
    </row>
    <row r="227" spans="2:2" x14ac:dyDescent="0.2">
      <c r="B227" s="475"/>
    </row>
    <row r="228" spans="2:2" x14ac:dyDescent="0.2">
      <c r="B228" s="475"/>
    </row>
    <row r="229" spans="2:2" x14ac:dyDescent="0.2">
      <c r="B229" s="475"/>
    </row>
    <row r="230" spans="2:2" x14ac:dyDescent="0.2">
      <c r="B230" s="475"/>
    </row>
    <row r="231" spans="2:2" x14ac:dyDescent="0.2">
      <c r="B231" s="475"/>
    </row>
    <row r="232" spans="2:2" x14ac:dyDescent="0.2">
      <c r="B232" s="475"/>
    </row>
    <row r="233" spans="2:2" x14ac:dyDescent="0.2">
      <c r="B233" s="475"/>
    </row>
    <row r="234" spans="2:2" x14ac:dyDescent="0.2">
      <c r="B234" s="475"/>
    </row>
    <row r="235" spans="2:2" x14ac:dyDescent="0.2">
      <c r="B235" s="475"/>
    </row>
    <row r="236" spans="2:2" x14ac:dyDescent="0.2">
      <c r="B236" s="475"/>
    </row>
    <row r="237" spans="2:2" x14ac:dyDescent="0.2">
      <c r="B237" s="475"/>
    </row>
    <row r="238" spans="2:2" x14ac:dyDescent="0.2">
      <c r="B238" s="475"/>
    </row>
    <row r="239" spans="2:2" x14ac:dyDescent="0.2">
      <c r="B239" s="475"/>
    </row>
    <row r="240" spans="2:2" x14ac:dyDescent="0.2">
      <c r="B240" s="475"/>
    </row>
    <row r="241" spans="2:2" x14ac:dyDescent="0.2">
      <c r="B241" s="475"/>
    </row>
    <row r="242" spans="2:2" x14ac:dyDescent="0.2">
      <c r="B242" s="475"/>
    </row>
    <row r="243" spans="2:2" x14ac:dyDescent="0.2">
      <c r="B243" s="475"/>
    </row>
    <row r="244" spans="2:2" x14ac:dyDescent="0.2">
      <c r="B244" s="475"/>
    </row>
    <row r="245" spans="2:2" x14ac:dyDescent="0.2">
      <c r="B245" s="475"/>
    </row>
    <row r="246" spans="2:2" x14ac:dyDescent="0.2">
      <c r="B246" s="475"/>
    </row>
    <row r="247" spans="2:2" x14ac:dyDescent="0.2">
      <c r="B247" s="475"/>
    </row>
    <row r="248" spans="2:2" x14ac:dyDescent="0.2">
      <c r="B248" s="475"/>
    </row>
    <row r="249" spans="2:2" x14ac:dyDescent="0.2">
      <c r="B249" s="475"/>
    </row>
    <row r="250" spans="2:2" x14ac:dyDescent="0.2">
      <c r="B250" s="475"/>
    </row>
    <row r="251" spans="2:2" x14ac:dyDescent="0.2">
      <c r="B251" s="475"/>
    </row>
    <row r="252" spans="2:2" x14ac:dyDescent="0.2">
      <c r="B252" s="475"/>
    </row>
    <row r="253" spans="2:2" x14ac:dyDescent="0.2">
      <c r="B253" s="475"/>
    </row>
    <row r="254" spans="2:2" x14ac:dyDescent="0.2">
      <c r="B254" s="475"/>
    </row>
    <row r="255" spans="2:2" x14ac:dyDescent="0.2">
      <c r="B255" s="475"/>
    </row>
    <row r="256" spans="2:2" x14ac:dyDescent="0.2">
      <c r="B256" s="475"/>
    </row>
    <row r="257" spans="2:2" x14ac:dyDescent="0.2">
      <c r="B257" s="475"/>
    </row>
    <row r="258" spans="2:2" x14ac:dyDescent="0.2">
      <c r="B258" s="475"/>
    </row>
    <row r="259" spans="2:2" x14ac:dyDescent="0.2">
      <c r="B259" s="475"/>
    </row>
    <row r="260" spans="2:2" x14ac:dyDescent="0.2">
      <c r="B260" s="475"/>
    </row>
    <row r="261" spans="2:2" x14ac:dyDescent="0.2">
      <c r="B261" s="475"/>
    </row>
    <row r="262" spans="2:2" x14ac:dyDescent="0.2">
      <c r="B262" s="475"/>
    </row>
    <row r="263" spans="2:2" x14ac:dyDescent="0.2">
      <c r="B263" s="475"/>
    </row>
    <row r="264" spans="2:2" x14ac:dyDescent="0.2">
      <c r="B264" s="475"/>
    </row>
    <row r="265" spans="2:2" x14ac:dyDescent="0.2">
      <c r="B265" s="475"/>
    </row>
    <row r="266" spans="2:2" x14ac:dyDescent="0.2">
      <c r="B266" s="475"/>
    </row>
    <row r="267" spans="2:2" x14ac:dyDescent="0.2">
      <c r="B267" s="475"/>
    </row>
    <row r="268" spans="2:2" x14ac:dyDescent="0.2">
      <c r="B268" s="475"/>
    </row>
    <row r="269" spans="2:2" x14ac:dyDescent="0.2">
      <c r="B269" s="475"/>
    </row>
    <row r="270" spans="2:2" x14ac:dyDescent="0.2">
      <c r="B270" s="475"/>
    </row>
    <row r="271" spans="2:2" x14ac:dyDescent="0.2">
      <c r="B271" s="475"/>
    </row>
    <row r="272" spans="2:2" x14ac:dyDescent="0.2">
      <c r="B272" s="475"/>
    </row>
    <row r="273" spans="2:2" x14ac:dyDescent="0.2">
      <c r="B273" s="475"/>
    </row>
    <row r="274" spans="2:2" x14ac:dyDescent="0.2">
      <c r="B274" s="475"/>
    </row>
    <row r="275" spans="2:2" x14ac:dyDescent="0.2">
      <c r="B275" s="475"/>
    </row>
    <row r="276" spans="2:2" x14ac:dyDescent="0.2">
      <c r="B276" s="475"/>
    </row>
    <row r="277" spans="2:2" x14ac:dyDescent="0.2">
      <c r="B277" s="475"/>
    </row>
    <row r="278" spans="2:2" x14ac:dyDescent="0.2">
      <c r="B278" s="475"/>
    </row>
  </sheetData>
  <mergeCells count="5">
    <mergeCell ref="K9:S9"/>
    <mergeCell ref="U9:AC9"/>
    <mergeCell ref="AE9:AM9"/>
    <mergeCell ref="AO9:AW9"/>
    <mergeCell ref="AY9:BG9"/>
  </mergeCells>
  <pageMargins left="0.7" right="0.7" top="0.75" bottom="0.75" header="0.3" footer="0.3"/>
  <pageSetup scale="55" orientation="landscape" r:id="rId1"/>
  <rowBreaks count="1" manualBreakCount="1">
    <brk id="79" min="2" max="59" man="1"/>
  </rowBreaks>
  <colBreaks count="4" manualBreakCount="4">
    <brk id="20" min="6" max="145" man="1"/>
    <brk id="30" min="6" max="145" man="1"/>
    <brk id="40" min="6" max="145" man="1"/>
    <brk id="50" min="6" max="145" man="1"/>
  </col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U16"/>
  <sheetViews>
    <sheetView showGridLines="0" zoomScale="90" zoomScaleNormal="90" workbookViewId="0">
      <selection activeCell="G37" sqref="G37"/>
    </sheetView>
  </sheetViews>
  <sheetFormatPr defaultRowHeight="15" x14ac:dyDescent="0.25"/>
  <cols>
    <col min="1" max="1" width="3" customWidth="1"/>
    <col min="2" max="2" width="27.5703125" bestFit="1" customWidth="1"/>
    <col min="5" max="5" width="9.7109375" bestFit="1" customWidth="1"/>
    <col min="6" max="6" width="0.7109375" style="525" customWidth="1"/>
    <col min="9" max="9" width="9.7109375" bestFit="1" customWidth="1"/>
    <col min="10" max="10" width="0.7109375" style="525" customWidth="1"/>
    <col min="13" max="13" width="9.7109375" bestFit="1" customWidth="1"/>
    <col min="14" max="14" width="0.85546875" style="525" customWidth="1"/>
    <col min="16" max="16" width="11.42578125" customWidth="1"/>
    <col min="17" max="17" width="9.7109375" bestFit="1" customWidth="1"/>
    <col min="18" max="18" width="0.85546875" customWidth="1"/>
    <col min="21" max="21" width="9.7109375" bestFit="1" customWidth="1"/>
  </cols>
  <sheetData>
    <row r="1" spans="2:21" ht="15.75" thickBot="1" x14ac:dyDescent="0.3"/>
    <row r="2" spans="2:21" ht="15.75" thickBot="1" x14ac:dyDescent="0.3">
      <c r="B2" s="526" t="s">
        <v>94</v>
      </c>
      <c r="C2" s="527"/>
      <c r="D2" s="527"/>
      <c r="E2" s="527"/>
      <c r="F2" s="527"/>
      <c r="G2" s="527"/>
      <c r="H2" s="527"/>
      <c r="I2" s="527"/>
      <c r="J2" s="527"/>
      <c r="K2" s="527"/>
      <c r="L2" s="527"/>
      <c r="M2" s="527"/>
      <c r="N2" s="527"/>
      <c r="O2" s="527"/>
      <c r="P2" s="527"/>
      <c r="Q2" s="527"/>
      <c r="R2" s="527"/>
      <c r="S2" s="527"/>
      <c r="T2" s="527"/>
      <c r="U2" s="528"/>
    </row>
    <row r="3" spans="2:21" ht="15.75" thickBot="1" x14ac:dyDescent="0.3">
      <c r="B3" s="529"/>
      <c r="C3" s="530" t="s">
        <v>742</v>
      </c>
      <c r="D3" s="531"/>
      <c r="E3" s="532"/>
      <c r="G3" s="530" t="s">
        <v>743</v>
      </c>
      <c r="H3" s="531"/>
      <c r="I3" s="532"/>
      <c r="K3" s="530" t="s">
        <v>744</v>
      </c>
      <c r="L3" s="531"/>
      <c r="M3" s="532"/>
      <c r="O3" s="530" t="s">
        <v>26</v>
      </c>
      <c r="P3" s="531"/>
      <c r="Q3" s="532"/>
      <c r="S3" s="530" t="s">
        <v>757</v>
      </c>
      <c r="T3" s="531"/>
      <c r="U3" s="532"/>
    </row>
    <row r="4" spans="2:21" ht="15.75" thickBot="1" x14ac:dyDescent="0.3">
      <c r="B4" s="533" t="s">
        <v>745</v>
      </c>
      <c r="C4" s="534">
        <v>2015</v>
      </c>
      <c r="D4" s="535">
        <v>2016</v>
      </c>
      <c r="E4" s="536" t="s">
        <v>746</v>
      </c>
      <c r="F4" s="537"/>
      <c r="G4" s="534">
        <v>2015</v>
      </c>
      <c r="H4" s="535">
        <v>2016</v>
      </c>
      <c r="I4" s="536" t="s">
        <v>746</v>
      </c>
      <c r="J4" s="537"/>
      <c r="K4" s="534">
        <v>2015</v>
      </c>
      <c r="L4" s="535">
        <v>2016</v>
      </c>
      <c r="M4" s="536" t="s">
        <v>746</v>
      </c>
      <c r="N4" s="537"/>
      <c r="O4" s="534">
        <v>2015</v>
      </c>
      <c r="P4" s="535">
        <v>2016</v>
      </c>
      <c r="Q4" s="536" t="s">
        <v>746</v>
      </c>
      <c r="R4" s="554"/>
      <c r="S4" s="534">
        <v>2015</v>
      </c>
      <c r="T4" s="535">
        <v>2016</v>
      </c>
      <c r="U4" s="536" t="s">
        <v>746</v>
      </c>
    </row>
    <row r="5" spans="2:21" x14ac:dyDescent="0.25">
      <c r="B5" s="539" t="s">
        <v>747</v>
      </c>
      <c r="C5" s="540">
        <v>0</v>
      </c>
      <c r="D5" s="541">
        <v>0</v>
      </c>
      <c r="E5" s="542">
        <f>D5-C5</f>
        <v>0</v>
      </c>
      <c r="F5" s="537"/>
      <c r="G5" s="540">
        <v>0</v>
      </c>
      <c r="H5" s="541">
        <v>0</v>
      </c>
      <c r="I5" s="542">
        <f>H5-G5</f>
        <v>0</v>
      </c>
      <c r="J5" s="537"/>
      <c r="K5" s="540">
        <v>0</v>
      </c>
      <c r="L5" s="541">
        <v>0</v>
      </c>
      <c r="M5" s="542">
        <f>L5-K5</f>
        <v>0</v>
      </c>
      <c r="N5" s="537"/>
      <c r="O5" s="540">
        <v>0</v>
      </c>
      <c r="P5" s="541">
        <v>0</v>
      </c>
      <c r="Q5" s="542">
        <f>P5-O5</f>
        <v>0</v>
      </c>
      <c r="R5" s="554"/>
      <c r="S5" s="555" t="s">
        <v>59</v>
      </c>
      <c r="T5" s="541">
        <v>0</v>
      </c>
      <c r="U5" s="542"/>
    </row>
    <row r="6" spans="2:21" x14ac:dyDescent="0.25">
      <c r="B6" s="543" t="s">
        <v>748</v>
      </c>
      <c r="C6" s="540">
        <v>5.2499999999999998E-2</v>
      </c>
      <c r="D6" s="541">
        <v>5.2499999999999998E-2</v>
      </c>
      <c r="E6" s="542">
        <f t="shared" ref="E6:E13" si="0">D6-C6</f>
        <v>0</v>
      </c>
      <c r="F6" s="537"/>
      <c r="G6" s="540">
        <v>5.2499999999999998E-2</v>
      </c>
      <c r="H6" s="541">
        <v>5.2499999999999998E-2</v>
      </c>
      <c r="I6" s="542">
        <f t="shared" ref="I6:I13" si="1">H6-G6</f>
        <v>0</v>
      </c>
      <c r="J6" s="537"/>
      <c r="K6" s="540">
        <v>6.7500000000000004E-2</v>
      </c>
      <c r="L6" s="541">
        <v>6.7500000000000004E-2</v>
      </c>
      <c r="M6" s="542">
        <f t="shared" ref="M6:M13" si="2">L6-K6</f>
        <v>0</v>
      </c>
      <c r="N6" s="537"/>
      <c r="O6" s="540">
        <v>5.7500000000000002E-2</v>
      </c>
      <c r="P6" s="541">
        <v>5.7500000000000002E-2</v>
      </c>
      <c r="Q6" s="542">
        <f t="shared" ref="Q6:Q13" si="3">P6-O6</f>
        <v>0</v>
      </c>
      <c r="R6" s="554"/>
      <c r="S6" s="555" t="s">
        <v>59</v>
      </c>
      <c r="T6" s="541">
        <v>5.7500000000000002E-2</v>
      </c>
      <c r="U6" s="542"/>
    </row>
    <row r="7" spans="2:21" ht="15.75" thickBot="1" x14ac:dyDescent="0.3">
      <c r="B7" s="543" t="s">
        <v>749</v>
      </c>
      <c r="C7" s="540">
        <v>0.01</v>
      </c>
      <c r="D7" s="541">
        <v>0.01</v>
      </c>
      <c r="E7" s="542">
        <f t="shared" si="0"/>
        <v>0</v>
      </c>
      <c r="F7" s="537"/>
      <c r="G7" s="540">
        <v>0.01</v>
      </c>
      <c r="H7" s="541">
        <v>0.01</v>
      </c>
      <c r="I7" s="542">
        <f t="shared" si="1"/>
        <v>0</v>
      </c>
      <c r="J7" s="537"/>
      <c r="K7" s="540">
        <v>0.01</v>
      </c>
      <c r="L7" s="541">
        <v>0.01</v>
      </c>
      <c r="M7" s="542">
        <f t="shared" si="2"/>
        <v>0</v>
      </c>
      <c r="N7" s="537"/>
      <c r="O7" s="540">
        <v>0.01</v>
      </c>
      <c r="P7" s="541">
        <v>0.01</v>
      </c>
      <c r="Q7" s="542">
        <f t="shared" si="3"/>
        <v>0</v>
      </c>
      <c r="R7" s="554"/>
      <c r="S7" s="555" t="s">
        <v>59</v>
      </c>
      <c r="T7" s="541">
        <v>0.01</v>
      </c>
      <c r="U7" s="542"/>
    </row>
    <row r="8" spans="2:21" ht="15.75" thickBot="1" x14ac:dyDescent="0.3">
      <c r="B8" s="544" t="s">
        <v>750</v>
      </c>
      <c r="C8" s="545">
        <f>SUM(C5:C7)</f>
        <v>6.25E-2</v>
      </c>
      <c r="D8" s="546">
        <f>SUM(D5:D7)</f>
        <v>6.25E-2</v>
      </c>
      <c r="E8" s="547">
        <f t="shared" si="0"/>
        <v>0</v>
      </c>
      <c r="F8" s="537"/>
      <c r="G8" s="545">
        <f>SUM(G5:G7)</f>
        <v>6.25E-2</v>
      </c>
      <c r="H8" s="548">
        <f>SUM(H5:H7)</f>
        <v>6.25E-2</v>
      </c>
      <c r="I8" s="547">
        <f t="shared" si="1"/>
        <v>0</v>
      </c>
      <c r="J8" s="537"/>
      <c r="K8" s="545">
        <f>SUM(K5:K7)</f>
        <v>7.7499999999999999E-2</v>
      </c>
      <c r="L8" s="548">
        <f>SUM(L5:L7)</f>
        <v>7.7499999999999999E-2</v>
      </c>
      <c r="M8" s="547">
        <f t="shared" si="2"/>
        <v>0</v>
      </c>
      <c r="N8" s="537"/>
      <c r="O8" s="545">
        <f>SUM(O5:O7)</f>
        <v>6.7500000000000004E-2</v>
      </c>
      <c r="P8" s="548">
        <f>SUM(P5:P7)</f>
        <v>6.7500000000000004E-2</v>
      </c>
      <c r="Q8" s="547">
        <f t="shared" si="3"/>
        <v>0</v>
      </c>
      <c r="R8" s="554"/>
      <c r="S8" s="556" t="s">
        <v>59</v>
      </c>
      <c r="T8" s="548">
        <f>SUM(T6:T7)</f>
        <v>6.7500000000000004E-2</v>
      </c>
      <c r="U8" s="557"/>
    </row>
    <row r="9" spans="2:21" ht="15.75" thickBot="1" x14ac:dyDescent="0.3">
      <c r="B9" s="543" t="s">
        <v>751</v>
      </c>
      <c r="C9" s="540">
        <v>2.5000000000000001E-2</v>
      </c>
      <c r="D9" s="541">
        <v>3.2000000000000001E-2</v>
      </c>
      <c r="E9" s="542">
        <f t="shared" si="0"/>
        <v>6.9999999999999993E-3</v>
      </c>
      <c r="F9" s="537"/>
      <c r="G9" s="540">
        <v>2.5000000000000001E-2</v>
      </c>
      <c r="H9" s="541">
        <v>3.2000000000000001E-2</v>
      </c>
      <c r="I9" s="542">
        <f t="shared" si="1"/>
        <v>6.9999999999999993E-3</v>
      </c>
      <c r="J9" s="537"/>
      <c r="K9" s="540">
        <v>2.5000000000000001E-2</v>
      </c>
      <c r="L9" s="541">
        <v>3.5000000000000003E-2</v>
      </c>
      <c r="M9" s="542">
        <f t="shared" si="2"/>
        <v>1.0000000000000002E-2</v>
      </c>
      <c r="N9" s="537"/>
      <c r="O9" s="540">
        <v>2.5000000000000001E-2</v>
      </c>
      <c r="P9" s="541">
        <v>3.5999999999999997E-2</v>
      </c>
      <c r="Q9" s="542">
        <f t="shared" si="3"/>
        <v>1.0999999999999996E-2</v>
      </c>
      <c r="R9" s="554"/>
      <c r="S9" s="555" t="s">
        <v>59</v>
      </c>
      <c r="T9" s="541">
        <v>3.5000000000000003E-2</v>
      </c>
      <c r="U9" s="542"/>
    </row>
    <row r="10" spans="2:21" ht="15.75" thickBot="1" x14ac:dyDescent="0.3">
      <c r="B10" s="544" t="s">
        <v>752</v>
      </c>
      <c r="C10" s="545">
        <f>SUM(C8:C9)</f>
        <v>8.7499999999999994E-2</v>
      </c>
      <c r="D10" s="548">
        <f>SUM(D8:D9)</f>
        <v>9.4500000000000001E-2</v>
      </c>
      <c r="E10" s="547">
        <f t="shared" si="0"/>
        <v>7.0000000000000062E-3</v>
      </c>
      <c r="F10" s="537"/>
      <c r="G10" s="545">
        <f>SUM(G8:G9)</f>
        <v>8.7499999999999994E-2</v>
      </c>
      <c r="H10" s="548">
        <f>SUM(H8:H9)</f>
        <v>9.4500000000000001E-2</v>
      </c>
      <c r="I10" s="547">
        <f t="shared" si="1"/>
        <v>7.0000000000000062E-3</v>
      </c>
      <c r="J10" s="537"/>
      <c r="K10" s="545">
        <f>SUM(K8:K9)</f>
        <v>0.10250000000000001</v>
      </c>
      <c r="L10" s="548">
        <f>SUM(L8:L9)</f>
        <v>0.1125</v>
      </c>
      <c r="M10" s="547">
        <f t="shared" si="2"/>
        <v>9.999999999999995E-3</v>
      </c>
      <c r="N10" s="537"/>
      <c r="O10" s="545">
        <f>SUM(O8:O9)</f>
        <v>9.2499999999999999E-2</v>
      </c>
      <c r="P10" s="548">
        <f>SUM(P8:P9)</f>
        <v>0.10350000000000001</v>
      </c>
      <c r="Q10" s="547">
        <f t="shared" si="3"/>
        <v>1.100000000000001E-2</v>
      </c>
      <c r="R10" s="554"/>
      <c r="S10" s="556" t="s">
        <v>59</v>
      </c>
      <c r="T10" s="548">
        <f>SUM(T8:T9)</f>
        <v>0.10250000000000001</v>
      </c>
      <c r="U10" s="557"/>
    </row>
    <row r="11" spans="2:21" x14ac:dyDescent="0.25">
      <c r="B11" s="543" t="s">
        <v>753</v>
      </c>
      <c r="C11" s="540">
        <v>0</v>
      </c>
      <c r="D11" s="541">
        <v>3.0000000000000001E-3</v>
      </c>
      <c r="E11" s="542">
        <f t="shared" si="0"/>
        <v>3.0000000000000001E-3</v>
      </c>
      <c r="F11" s="537"/>
      <c r="G11" s="540">
        <v>0</v>
      </c>
      <c r="H11" s="541">
        <v>3.0000000000000001E-3</v>
      </c>
      <c r="I11" s="542">
        <f t="shared" si="1"/>
        <v>3.0000000000000001E-3</v>
      </c>
      <c r="J11" s="537"/>
      <c r="K11" s="540">
        <v>0</v>
      </c>
      <c r="L11" s="541">
        <v>0</v>
      </c>
      <c r="M11" s="542">
        <f t="shared" si="2"/>
        <v>0</v>
      </c>
      <c r="N11" s="537"/>
      <c r="O11" s="540">
        <v>0</v>
      </c>
      <c r="P11" s="541">
        <v>0</v>
      </c>
      <c r="Q11" s="542">
        <f t="shared" si="3"/>
        <v>0</v>
      </c>
      <c r="R11" s="554"/>
      <c r="S11" s="555" t="s">
        <v>59</v>
      </c>
      <c r="T11" s="541">
        <v>0</v>
      </c>
      <c r="U11" s="542"/>
    </row>
    <row r="12" spans="2:21" ht="15.75" thickBot="1" x14ac:dyDescent="0.3">
      <c r="B12" s="543" t="s">
        <v>754</v>
      </c>
      <c r="C12" s="540">
        <v>1.2500000000000001E-2</v>
      </c>
      <c r="D12" s="541">
        <v>1.2500000000000001E-2</v>
      </c>
      <c r="E12" s="542">
        <f t="shared" si="0"/>
        <v>0</v>
      </c>
      <c r="F12" s="537"/>
      <c r="G12" s="540">
        <v>1.2500000000000001E-2</v>
      </c>
      <c r="H12" s="541">
        <v>1.2500000000000001E-2</v>
      </c>
      <c r="I12" s="542">
        <f t="shared" si="1"/>
        <v>0</v>
      </c>
      <c r="J12" s="537"/>
      <c r="K12" s="540">
        <v>1.2500000000000001E-2</v>
      </c>
      <c r="L12" s="541">
        <v>1.2500000000000001E-2</v>
      </c>
      <c r="M12" s="542">
        <f t="shared" si="2"/>
        <v>0</v>
      </c>
      <c r="N12" s="537"/>
      <c r="O12" s="540">
        <v>1.2500000000000001E-2</v>
      </c>
      <c r="P12" s="541">
        <v>1.2500000000000001E-2</v>
      </c>
      <c r="Q12" s="542">
        <f t="shared" si="3"/>
        <v>0</v>
      </c>
      <c r="R12" s="554"/>
      <c r="S12" s="555" t="s">
        <v>59</v>
      </c>
      <c r="T12" s="541">
        <v>1.2500000000000001E-2</v>
      </c>
      <c r="U12" s="542"/>
    </row>
    <row r="13" spans="2:21" ht="15.75" thickBot="1" x14ac:dyDescent="0.3">
      <c r="B13" s="544" t="s">
        <v>755</v>
      </c>
      <c r="C13" s="545">
        <f>SUM(C10:C12)</f>
        <v>9.9999999999999992E-2</v>
      </c>
      <c r="D13" s="548">
        <f>SUM(D10:D12)</f>
        <v>0.11</v>
      </c>
      <c r="E13" s="547">
        <f t="shared" si="0"/>
        <v>1.0000000000000009E-2</v>
      </c>
      <c r="F13" s="537"/>
      <c r="G13" s="545">
        <f>SUM(G10:G12)</f>
        <v>9.9999999999999992E-2</v>
      </c>
      <c r="H13" s="548">
        <f>SUM(H10:H12)</f>
        <v>0.11</v>
      </c>
      <c r="I13" s="547">
        <f t="shared" si="1"/>
        <v>1.0000000000000009E-2</v>
      </c>
      <c r="J13" s="537"/>
      <c r="K13" s="545">
        <f>SUM(K10:K12)</f>
        <v>0.115</v>
      </c>
      <c r="L13" s="548">
        <f>SUM(L10:L12)</f>
        <v>0.125</v>
      </c>
      <c r="M13" s="547">
        <f t="shared" si="2"/>
        <v>9.999999999999995E-3</v>
      </c>
      <c r="N13" s="537"/>
      <c r="O13" s="545">
        <f>SUM(O10:O12)</f>
        <v>0.105</v>
      </c>
      <c r="P13" s="548">
        <f>SUM(P10:P12)</f>
        <v>0.11600000000000001</v>
      </c>
      <c r="Q13" s="547">
        <f t="shared" si="3"/>
        <v>1.100000000000001E-2</v>
      </c>
      <c r="R13" s="554"/>
      <c r="S13" s="556" t="s">
        <v>59</v>
      </c>
      <c r="T13" s="548">
        <f>SUM(T10:T12)</f>
        <v>0.115</v>
      </c>
      <c r="U13" s="557"/>
    </row>
    <row r="14" spans="2:21" ht="6" customHeight="1" thickBot="1" x14ac:dyDescent="0.3">
      <c r="B14" s="538"/>
      <c r="C14" s="549"/>
      <c r="D14" s="549"/>
      <c r="E14" s="549"/>
      <c r="G14" s="549"/>
      <c r="H14" s="549"/>
      <c r="I14" s="549"/>
      <c r="K14" s="549"/>
      <c r="L14" s="549"/>
      <c r="M14" s="549"/>
      <c r="O14" s="549"/>
      <c r="P14" s="549"/>
      <c r="Q14" s="549"/>
      <c r="T14" s="549"/>
    </row>
    <row r="15" spans="2:21" s="563" customFormat="1" ht="15.75" thickBot="1" x14ac:dyDescent="0.3">
      <c r="B15" s="550" t="s">
        <v>756</v>
      </c>
      <c r="C15" s="551">
        <v>5.2499999999999998E-2</v>
      </c>
      <c r="D15" s="552">
        <v>5.2499999999999998E-2</v>
      </c>
      <c r="E15" s="553">
        <f>D15-C15</f>
        <v>0</v>
      </c>
      <c r="F15" s="558"/>
      <c r="G15" s="551">
        <v>5.2499999999999998E-2</v>
      </c>
      <c r="H15" s="552">
        <v>5.2499999999999998E-2</v>
      </c>
      <c r="I15" s="553">
        <f>H15-G15</f>
        <v>0</v>
      </c>
      <c r="J15" s="558"/>
      <c r="K15" s="559" t="s">
        <v>59</v>
      </c>
      <c r="L15" s="560" t="s">
        <v>59</v>
      </c>
      <c r="M15" s="561"/>
      <c r="N15" s="558"/>
      <c r="O15" s="559" t="s">
        <v>59</v>
      </c>
      <c r="P15" s="560" t="s">
        <v>59</v>
      </c>
      <c r="Q15" s="561"/>
      <c r="R15" s="562"/>
      <c r="S15" s="551">
        <v>5.7500000000000002E-2</v>
      </c>
      <c r="T15" s="552">
        <v>5.7500000000000002E-2</v>
      </c>
      <c r="U15" s="553">
        <f>T15-S15</f>
        <v>0</v>
      </c>
    </row>
    <row r="16" spans="2:21" x14ac:dyDescent="0.25">
      <c r="B16" s="336" t="s">
        <v>758</v>
      </c>
    </row>
  </sheetData>
  <mergeCells count="6">
    <mergeCell ref="B2:U2"/>
    <mergeCell ref="C3:E3"/>
    <mergeCell ref="G3:I3"/>
    <mergeCell ref="K3:M3"/>
    <mergeCell ref="O3:Q3"/>
    <mergeCell ref="S3:U3"/>
  </mergeCells>
  <pageMargins left="0.7" right="0.7" top="0.75" bottom="0.75" header="0.3" footer="0.3"/>
  <pageSetup paperSize="3" scale="6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V36"/>
  <sheetViews>
    <sheetView zoomScale="70" zoomScaleNormal="70" workbookViewId="0">
      <selection activeCell="J30" sqref="J30"/>
    </sheetView>
  </sheetViews>
  <sheetFormatPr defaultColWidth="9.140625" defaultRowHeight="15" x14ac:dyDescent="0.25"/>
  <cols>
    <col min="1" max="1" width="2.28515625" style="56" customWidth="1"/>
    <col min="2" max="2" width="34.5703125" style="56" bestFit="1" customWidth="1"/>
    <col min="3" max="3" width="27.28515625" style="56" bestFit="1" customWidth="1"/>
    <col min="4" max="4" width="19.28515625" style="56" customWidth="1"/>
    <col min="5" max="5" width="17.140625" style="56" customWidth="1"/>
    <col min="6" max="6" width="19" style="56" customWidth="1"/>
    <col min="7" max="21" width="21.140625" style="56" customWidth="1"/>
    <col min="22" max="22" width="11.140625" style="56" customWidth="1"/>
    <col min="23" max="23" width="9.140625" style="56"/>
    <col min="24" max="24" width="18" style="56" bestFit="1" customWidth="1"/>
    <col min="25" max="16384" width="9.140625" style="56"/>
  </cols>
  <sheetData>
    <row r="1" spans="1:22" ht="15.75" thickBot="1" x14ac:dyDescent="0.3">
      <c r="C1" s="57"/>
    </row>
    <row r="2" spans="1:22" ht="15.75" thickBot="1" x14ac:dyDescent="0.3">
      <c r="B2" s="45" t="s">
        <v>121</v>
      </c>
      <c r="C2" s="46" t="s">
        <v>122</v>
      </c>
      <c r="D2" s="42" t="s">
        <v>118</v>
      </c>
      <c r="E2" s="43" t="s">
        <v>119</v>
      </c>
      <c r="F2" s="44" t="s">
        <v>120</v>
      </c>
      <c r="G2" s="40">
        <v>42005</v>
      </c>
      <c r="H2" s="39">
        <v>42036</v>
      </c>
      <c r="I2" s="39">
        <v>42064</v>
      </c>
      <c r="J2" s="39">
        <v>42095</v>
      </c>
      <c r="K2" s="39">
        <v>42125</v>
      </c>
      <c r="L2" s="39">
        <v>42156</v>
      </c>
      <c r="M2" s="39">
        <v>42186</v>
      </c>
      <c r="N2" s="39">
        <v>42217</v>
      </c>
      <c r="O2" s="39">
        <v>42248</v>
      </c>
      <c r="P2" s="39">
        <v>42278</v>
      </c>
      <c r="Q2" s="39">
        <v>42309</v>
      </c>
      <c r="R2" s="39">
        <v>42339</v>
      </c>
      <c r="S2" s="39">
        <v>42370</v>
      </c>
      <c r="T2" s="39">
        <v>42401</v>
      </c>
      <c r="U2" s="41">
        <v>42430</v>
      </c>
      <c r="V2" s="58"/>
    </row>
    <row r="3" spans="1:22" ht="45.75" customHeight="1" thickBot="1" x14ac:dyDescent="0.3">
      <c r="A3" s="68"/>
      <c r="B3" s="427" t="s">
        <v>25</v>
      </c>
      <c r="C3" s="428"/>
      <c r="D3" s="273">
        <v>0.125</v>
      </c>
      <c r="E3" s="273">
        <v>0.1125</v>
      </c>
      <c r="F3" s="274" t="s">
        <v>117</v>
      </c>
      <c r="G3" s="55">
        <v>0.11549073350973234</v>
      </c>
      <c r="H3" s="55">
        <v>0.11711556349717431</v>
      </c>
      <c r="I3" s="55">
        <v>0.11450451008776283</v>
      </c>
      <c r="J3" s="55">
        <v>0.11855070162822255</v>
      </c>
      <c r="K3" s="55">
        <v>0.12094920684226208</v>
      </c>
      <c r="L3" s="55">
        <v>0.12165226105540251</v>
      </c>
      <c r="M3" s="55">
        <v>0.12028687348049819</v>
      </c>
      <c r="N3" s="55">
        <v>0.12031292034765875</v>
      </c>
      <c r="O3" s="55">
        <v>0.12563807618624409</v>
      </c>
      <c r="P3" s="55">
        <v>0.12634836628030274</v>
      </c>
      <c r="Q3" s="55">
        <v>0.129937928130927</v>
      </c>
      <c r="R3" s="55">
        <v>0.12459271706784888</v>
      </c>
      <c r="S3" s="55">
        <v>0.1239767675999609</v>
      </c>
      <c r="T3" s="55">
        <v>0.12623006595188824</v>
      </c>
      <c r="U3" s="55">
        <v>0.13395812724219561</v>
      </c>
    </row>
    <row r="4" spans="1:22" x14ac:dyDescent="0.25">
      <c r="C4" s="57"/>
    </row>
    <row r="5" spans="1:22" x14ac:dyDescent="0.25">
      <c r="C5" s="57"/>
    </row>
    <row r="6" spans="1:22" x14ac:dyDescent="0.25">
      <c r="C6" s="57"/>
      <c r="N6" s="64"/>
      <c r="O6" s="64"/>
      <c r="P6" s="70"/>
    </row>
    <row r="7" spans="1:22" x14ac:dyDescent="0.25">
      <c r="C7" s="57"/>
      <c r="N7" s="64"/>
      <c r="O7" s="64"/>
      <c r="P7" s="64"/>
    </row>
    <row r="8" spans="1:22" x14ac:dyDescent="0.25">
      <c r="C8" s="57"/>
      <c r="N8" s="64"/>
      <c r="O8" s="71"/>
    </row>
    <row r="9" spans="1:22" x14ac:dyDescent="0.25">
      <c r="O9" s="71"/>
      <c r="T9" s="64"/>
    </row>
    <row r="10" spans="1:22" x14ac:dyDescent="0.25">
      <c r="O10" s="71"/>
    </row>
    <row r="11" spans="1:22" x14ac:dyDescent="0.25">
      <c r="O11" s="71"/>
    </row>
    <row r="34" spans="6:21" x14ac:dyDescent="0.25">
      <c r="F34" s="76" t="s">
        <v>123</v>
      </c>
    </row>
    <row r="35" spans="6:21" x14ac:dyDescent="0.25">
      <c r="F35" s="56" t="s">
        <v>46</v>
      </c>
      <c r="G35" s="77">
        <f>$D$3</f>
        <v>0.125</v>
      </c>
      <c r="H35" s="77">
        <f t="shared" ref="H35:U35" si="0">$D$3</f>
        <v>0.125</v>
      </c>
      <c r="I35" s="77">
        <f t="shared" si="0"/>
        <v>0.125</v>
      </c>
      <c r="J35" s="77">
        <f t="shared" si="0"/>
        <v>0.125</v>
      </c>
      <c r="K35" s="77">
        <f t="shared" si="0"/>
        <v>0.125</v>
      </c>
      <c r="L35" s="77">
        <f t="shared" si="0"/>
        <v>0.125</v>
      </c>
      <c r="M35" s="77">
        <f t="shared" si="0"/>
        <v>0.125</v>
      </c>
      <c r="N35" s="77">
        <f t="shared" si="0"/>
        <v>0.125</v>
      </c>
      <c r="O35" s="77">
        <f t="shared" si="0"/>
        <v>0.125</v>
      </c>
      <c r="P35" s="77">
        <f t="shared" si="0"/>
        <v>0.125</v>
      </c>
      <c r="Q35" s="77">
        <f t="shared" si="0"/>
        <v>0.125</v>
      </c>
      <c r="R35" s="77">
        <f t="shared" si="0"/>
        <v>0.125</v>
      </c>
      <c r="S35" s="77">
        <f t="shared" si="0"/>
        <v>0.125</v>
      </c>
      <c r="T35" s="77">
        <f t="shared" si="0"/>
        <v>0.125</v>
      </c>
      <c r="U35" s="77">
        <f t="shared" si="0"/>
        <v>0.125</v>
      </c>
    </row>
    <row r="36" spans="6:21" x14ac:dyDescent="0.25">
      <c r="F36" s="56" t="s">
        <v>47</v>
      </c>
      <c r="G36" s="77">
        <f>$E$3</f>
        <v>0.1125</v>
      </c>
      <c r="H36" s="77">
        <f t="shared" ref="H36:U36" si="1">$E$3</f>
        <v>0.1125</v>
      </c>
      <c r="I36" s="77">
        <f t="shared" si="1"/>
        <v>0.1125</v>
      </c>
      <c r="J36" s="77">
        <f t="shared" si="1"/>
        <v>0.1125</v>
      </c>
      <c r="K36" s="77">
        <f t="shared" si="1"/>
        <v>0.1125</v>
      </c>
      <c r="L36" s="77">
        <f t="shared" si="1"/>
        <v>0.1125</v>
      </c>
      <c r="M36" s="77">
        <f t="shared" si="1"/>
        <v>0.1125</v>
      </c>
      <c r="N36" s="77">
        <f t="shared" si="1"/>
        <v>0.1125</v>
      </c>
      <c r="O36" s="77">
        <f t="shared" si="1"/>
        <v>0.1125</v>
      </c>
      <c r="P36" s="77">
        <f t="shared" si="1"/>
        <v>0.1125</v>
      </c>
      <c r="Q36" s="77">
        <f t="shared" si="1"/>
        <v>0.1125</v>
      </c>
      <c r="R36" s="77">
        <f t="shared" si="1"/>
        <v>0.1125</v>
      </c>
      <c r="S36" s="77">
        <f t="shared" si="1"/>
        <v>0.1125</v>
      </c>
      <c r="T36" s="77">
        <f t="shared" si="1"/>
        <v>0.1125</v>
      </c>
      <c r="U36" s="77">
        <f t="shared" si="1"/>
        <v>0.1125</v>
      </c>
    </row>
  </sheetData>
  <mergeCells count="1">
    <mergeCell ref="B3:C3"/>
  </mergeCells>
  <conditionalFormatting sqref="G3:U3">
    <cfRule type="cellIs" dxfId="64" priority="2" operator="lessThanOrEqual">
      <formula>$E$3</formula>
    </cfRule>
    <cfRule type="cellIs" dxfId="63" priority="3" operator="lessThanOrEqual">
      <formula>$D$3</formula>
    </cfRule>
  </conditionalFormatting>
  <conditionalFormatting sqref="G3:U3">
    <cfRule type="cellIs" dxfId="62" priority="1" operator="equal">
      <formula>"Not Available"</formula>
    </cfRule>
  </conditionalFormatting>
  <pageMargins left="0.7" right="0.7" top="0.75" bottom="0.75" header="0.3" footer="0.3"/>
  <pageSetup scale="27" orientation="landscape"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V38"/>
  <sheetViews>
    <sheetView topLeftCell="D5" zoomScale="70" zoomScaleNormal="70" workbookViewId="0">
      <selection activeCell="G38" sqref="G38:U38"/>
    </sheetView>
  </sheetViews>
  <sheetFormatPr defaultColWidth="9.140625" defaultRowHeight="15" x14ac:dyDescent="0.25"/>
  <cols>
    <col min="1" max="1" width="2.28515625" style="56" customWidth="1"/>
    <col min="2" max="2" width="30.140625" style="56" customWidth="1"/>
    <col min="3" max="3" width="20" style="56" bestFit="1" customWidth="1"/>
    <col min="4" max="4" width="19.28515625" style="56" customWidth="1"/>
    <col min="5" max="5" width="17.140625" style="56" customWidth="1"/>
    <col min="6" max="6" width="19" style="56" customWidth="1"/>
    <col min="7" max="21" width="21.140625" style="56" customWidth="1"/>
    <col min="22" max="22" width="11.140625" style="56" customWidth="1"/>
    <col min="23" max="23" width="9.140625" style="56"/>
    <col min="24" max="24" width="18" style="56" bestFit="1" customWidth="1"/>
    <col min="25" max="16384" width="9.140625" style="56"/>
  </cols>
  <sheetData>
    <row r="1" spans="1:22" ht="15.75" thickBot="1" x14ac:dyDescent="0.3">
      <c r="C1" s="57"/>
    </row>
    <row r="2" spans="1:22" ht="15.75" thickBot="1" x14ac:dyDescent="0.3">
      <c r="B2" s="45" t="s">
        <v>121</v>
      </c>
      <c r="C2" s="46" t="s">
        <v>122</v>
      </c>
      <c r="D2" s="42" t="s">
        <v>118</v>
      </c>
      <c r="E2" s="43" t="s">
        <v>119</v>
      </c>
      <c r="F2" s="44" t="s">
        <v>120</v>
      </c>
      <c r="G2" s="40">
        <v>42005</v>
      </c>
      <c r="H2" s="39">
        <v>42036</v>
      </c>
      <c r="I2" s="39">
        <v>42064</v>
      </c>
      <c r="J2" s="39">
        <v>42095</v>
      </c>
      <c r="K2" s="39">
        <v>42125</v>
      </c>
      <c r="L2" s="39">
        <v>42156</v>
      </c>
      <c r="M2" s="39">
        <v>42186</v>
      </c>
      <c r="N2" s="39">
        <v>42217</v>
      </c>
      <c r="O2" s="39">
        <v>42248</v>
      </c>
      <c r="P2" s="39">
        <v>42278</v>
      </c>
      <c r="Q2" s="39">
        <v>42309</v>
      </c>
      <c r="R2" s="39">
        <v>42339</v>
      </c>
      <c r="S2" s="39">
        <v>42370</v>
      </c>
      <c r="T2" s="39">
        <v>42401</v>
      </c>
      <c r="U2" s="41">
        <v>42430</v>
      </c>
      <c r="V2" s="58"/>
    </row>
    <row r="3" spans="1:22" ht="36" x14ac:dyDescent="0.25">
      <c r="A3" s="59"/>
      <c r="B3" s="72" t="s">
        <v>113</v>
      </c>
      <c r="C3" s="73" t="s">
        <v>114</v>
      </c>
      <c r="D3" s="429">
        <v>0.115</v>
      </c>
      <c r="E3" s="429">
        <v>0.10249999999999999</v>
      </c>
      <c r="F3" s="432" t="s">
        <v>117</v>
      </c>
      <c r="G3" s="47">
        <v>3513819584.8119998</v>
      </c>
      <c r="H3" s="48">
        <v>3640074904.414</v>
      </c>
      <c r="I3" s="48">
        <v>3722834212.2670002</v>
      </c>
      <c r="J3" s="48">
        <v>3889916143.5170002</v>
      </c>
      <c r="K3" s="48">
        <v>3983575534.5750027</v>
      </c>
      <c r="L3" s="48">
        <v>4117752351.2890015</v>
      </c>
      <c r="M3" s="48">
        <v>4047133392.6379995</v>
      </c>
      <c r="N3" s="48">
        <v>4074916642.1719999</v>
      </c>
      <c r="O3" s="48">
        <v>4233074796</v>
      </c>
      <c r="P3" s="48">
        <v>4295015279.2919998</v>
      </c>
      <c r="Q3" s="48">
        <v>4354139789.9330025</v>
      </c>
      <c r="R3" s="49">
        <v>4314739315</v>
      </c>
      <c r="S3" s="48">
        <v>4301039686.2309999</v>
      </c>
      <c r="T3" s="48">
        <v>4354097325.9910002</v>
      </c>
      <c r="U3" s="50">
        <v>4481576042.1509981</v>
      </c>
    </row>
    <row r="4" spans="1:22" ht="24.75" thickBot="1" x14ac:dyDescent="0.3">
      <c r="A4" s="59"/>
      <c r="B4" s="74" t="s">
        <v>115</v>
      </c>
      <c r="C4" s="75" t="s">
        <v>116</v>
      </c>
      <c r="D4" s="430"/>
      <c r="E4" s="430"/>
      <c r="F4" s="433"/>
      <c r="G4" s="51">
        <v>32760657473.537994</v>
      </c>
      <c r="H4" s="52">
        <v>33380171320.309994</v>
      </c>
      <c r="I4" s="52">
        <v>34537924096.594986</v>
      </c>
      <c r="J4" s="52">
        <v>34747937944.864998</v>
      </c>
      <c r="K4" s="52">
        <v>35043658744.18399</v>
      </c>
      <c r="L4" s="52">
        <v>35912221295.085991</v>
      </c>
      <c r="M4" s="52">
        <v>35703748065.740967</v>
      </c>
      <c r="N4" s="52">
        <v>36067843231.733963</v>
      </c>
      <c r="O4" s="52">
        <v>35863482872</v>
      </c>
      <c r="P4" s="52">
        <v>36063510183.872032</v>
      </c>
      <c r="Q4" s="52">
        <v>35352994500.024994</v>
      </c>
      <c r="R4" s="53">
        <v>36434089571</v>
      </c>
      <c r="S4" s="52">
        <v>37051356512.898964</v>
      </c>
      <c r="T4" s="52">
        <v>36896138285.673012</v>
      </c>
      <c r="U4" s="54">
        <v>37717916260.158012</v>
      </c>
    </row>
    <row r="5" spans="1:22" ht="45.75" customHeight="1" thickBot="1" x14ac:dyDescent="0.3">
      <c r="A5" s="68"/>
      <c r="B5" s="427" t="s">
        <v>63</v>
      </c>
      <c r="C5" s="428"/>
      <c r="D5" s="431"/>
      <c r="E5" s="431"/>
      <c r="F5" s="434"/>
      <c r="G5" s="55">
        <v>0.10725729749624967</v>
      </c>
      <c r="H5" s="55">
        <v>0.10904901803781981</v>
      </c>
      <c r="I5" s="55">
        <v>0.1077897502425175</v>
      </c>
      <c r="J5" s="55">
        <v>0.1119466757909255</v>
      </c>
      <c r="K5" s="55">
        <v>0.11367464692128174</v>
      </c>
      <c r="L5" s="55">
        <v>0.11466158880716325</v>
      </c>
      <c r="M5" s="55">
        <v>0.1133531803211823</v>
      </c>
      <c r="N5" s="55">
        <v>0.11297921575157346</v>
      </c>
      <c r="O5" s="55">
        <v>0.11803300898321073</v>
      </c>
      <c r="P5" s="55">
        <v>0.11909587440028992</v>
      </c>
      <c r="Q5" s="55">
        <v>0.12316183824060291</v>
      </c>
      <c r="R5" s="55">
        <v>0.11842588536737722</v>
      </c>
      <c r="S5" s="55">
        <v>0.11608319076613692</v>
      </c>
      <c r="T5" s="55">
        <v>0.11800956762138226</v>
      </c>
      <c r="U5" s="55">
        <v>0.11881822980992597</v>
      </c>
    </row>
    <row r="6" spans="1:22" x14ac:dyDescent="0.25">
      <c r="C6" s="57"/>
    </row>
    <row r="7" spans="1:22" x14ac:dyDescent="0.25">
      <c r="C7" s="57"/>
    </row>
    <row r="8" spans="1:22" x14ac:dyDescent="0.25">
      <c r="C8" s="57"/>
      <c r="N8" s="64"/>
      <c r="O8" s="64"/>
      <c r="P8" s="70"/>
    </row>
    <row r="9" spans="1:22" x14ac:dyDescent="0.25">
      <c r="C9" s="57"/>
      <c r="N9" s="64"/>
      <c r="O9" s="64"/>
      <c r="P9" s="64"/>
    </row>
    <row r="10" spans="1:22" x14ac:dyDescent="0.25">
      <c r="C10" s="57"/>
      <c r="N10" s="64"/>
      <c r="O10" s="71"/>
    </row>
    <row r="11" spans="1:22" x14ac:dyDescent="0.25">
      <c r="O11" s="71"/>
      <c r="T11" s="64"/>
    </row>
    <row r="12" spans="1:22" x14ac:dyDescent="0.25">
      <c r="O12" s="71"/>
    </row>
    <row r="13" spans="1:22" x14ac:dyDescent="0.25">
      <c r="O13" s="71"/>
    </row>
    <row r="36" spans="6:21" x14ac:dyDescent="0.25">
      <c r="F36" s="76" t="s">
        <v>123</v>
      </c>
    </row>
    <row r="37" spans="6:21" x14ac:dyDescent="0.25">
      <c r="F37" s="56" t="s">
        <v>46</v>
      </c>
      <c r="G37" s="77">
        <f>$D$3</f>
        <v>0.115</v>
      </c>
      <c r="H37" s="77">
        <f t="shared" ref="H37:U37" si="0">$D$3</f>
        <v>0.115</v>
      </c>
      <c r="I37" s="77">
        <f t="shared" si="0"/>
        <v>0.115</v>
      </c>
      <c r="J37" s="77">
        <f t="shared" si="0"/>
        <v>0.115</v>
      </c>
      <c r="K37" s="77">
        <f t="shared" si="0"/>
        <v>0.115</v>
      </c>
      <c r="L37" s="77">
        <f t="shared" si="0"/>
        <v>0.115</v>
      </c>
      <c r="M37" s="77">
        <f t="shared" si="0"/>
        <v>0.115</v>
      </c>
      <c r="N37" s="77">
        <f t="shared" si="0"/>
        <v>0.115</v>
      </c>
      <c r="O37" s="77">
        <f t="shared" si="0"/>
        <v>0.115</v>
      </c>
      <c r="P37" s="77">
        <f t="shared" si="0"/>
        <v>0.115</v>
      </c>
      <c r="Q37" s="77">
        <f t="shared" si="0"/>
        <v>0.115</v>
      </c>
      <c r="R37" s="77">
        <f t="shared" si="0"/>
        <v>0.115</v>
      </c>
      <c r="S37" s="77">
        <f t="shared" si="0"/>
        <v>0.115</v>
      </c>
      <c r="T37" s="77">
        <f t="shared" si="0"/>
        <v>0.115</v>
      </c>
      <c r="U37" s="77">
        <f t="shared" si="0"/>
        <v>0.115</v>
      </c>
    </row>
    <row r="38" spans="6:21" x14ac:dyDescent="0.25">
      <c r="F38" s="56" t="s">
        <v>47</v>
      </c>
      <c r="G38" s="77">
        <f>$E$3</f>
        <v>0.10249999999999999</v>
      </c>
      <c r="H38" s="77">
        <f t="shared" ref="H38:U38" si="1">$E$3</f>
        <v>0.10249999999999999</v>
      </c>
      <c r="I38" s="77">
        <f t="shared" si="1"/>
        <v>0.10249999999999999</v>
      </c>
      <c r="J38" s="77">
        <f t="shared" si="1"/>
        <v>0.10249999999999999</v>
      </c>
      <c r="K38" s="77">
        <f t="shared" si="1"/>
        <v>0.10249999999999999</v>
      </c>
      <c r="L38" s="77">
        <f t="shared" si="1"/>
        <v>0.10249999999999999</v>
      </c>
      <c r="M38" s="77">
        <f t="shared" si="1"/>
        <v>0.10249999999999999</v>
      </c>
      <c r="N38" s="77">
        <f t="shared" si="1"/>
        <v>0.10249999999999999</v>
      </c>
      <c r="O38" s="77">
        <f t="shared" si="1"/>
        <v>0.10249999999999999</v>
      </c>
      <c r="P38" s="77">
        <f t="shared" si="1"/>
        <v>0.10249999999999999</v>
      </c>
      <c r="Q38" s="77">
        <f t="shared" si="1"/>
        <v>0.10249999999999999</v>
      </c>
      <c r="R38" s="77">
        <f t="shared" si="1"/>
        <v>0.10249999999999999</v>
      </c>
      <c r="S38" s="77">
        <f t="shared" si="1"/>
        <v>0.10249999999999999</v>
      </c>
      <c r="T38" s="77">
        <f t="shared" si="1"/>
        <v>0.10249999999999999</v>
      </c>
      <c r="U38" s="77">
        <f t="shared" si="1"/>
        <v>0.10249999999999999</v>
      </c>
    </row>
  </sheetData>
  <mergeCells count="4">
    <mergeCell ref="D3:D5"/>
    <mergeCell ref="E3:E5"/>
    <mergeCell ref="F3:F5"/>
    <mergeCell ref="B5:C5"/>
  </mergeCells>
  <conditionalFormatting sqref="G5:U5">
    <cfRule type="cellIs" dxfId="61" priority="6" operator="lessThanOrEqual">
      <formula>$E3</formula>
    </cfRule>
    <cfRule type="cellIs" dxfId="60" priority="7" operator="lessThanOrEqual">
      <formula>$D3</formula>
    </cfRule>
  </conditionalFormatting>
  <conditionalFormatting sqref="G5:U5">
    <cfRule type="cellIs" dxfId="59" priority="1" operator="equal">
      <formula>"Not Available"</formula>
    </cfRule>
  </conditionalFormatting>
  <pageMargins left="0.7" right="0.7" top="0.75" bottom="0.75" header="0.3" footer="0.3"/>
  <pageSetup scale="27" orientation="landscape"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N6"/>
  <sheetViews>
    <sheetView workbookViewId="0">
      <selection activeCell="C25" sqref="C25"/>
    </sheetView>
  </sheetViews>
  <sheetFormatPr defaultRowHeight="15" x14ac:dyDescent="0.25"/>
  <cols>
    <col min="1" max="1" width="14" customWidth="1"/>
  </cols>
  <sheetData>
    <row r="2" spans="1:14" x14ac:dyDescent="0.25">
      <c r="A2" t="s">
        <v>197</v>
      </c>
      <c r="B2" s="306">
        <v>42094</v>
      </c>
      <c r="C2" s="306">
        <v>42185</v>
      </c>
      <c r="D2" s="306">
        <v>42277</v>
      </c>
      <c r="E2" s="306">
        <v>42369</v>
      </c>
      <c r="F2" s="307" t="s">
        <v>198</v>
      </c>
      <c r="G2" s="307" t="s">
        <v>199</v>
      </c>
      <c r="H2" s="307" t="s">
        <v>200</v>
      </c>
      <c r="I2" s="307" t="s">
        <v>201</v>
      </c>
      <c r="J2" s="307" t="s">
        <v>202</v>
      </c>
      <c r="K2" s="307" t="s">
        <v>203</v>
      </c>
      <c r="L2" s="307" t="s">
        <v>204</v>
      </c>
      <c r="M2" s="307" t="s">
        <v>205</v>
      </c>
      <c r="N2" s="307" t="s">
        <v>206</v>
      </c>
    </row>
    <row r="3" spans="1:14" x14ac:dyDescent="0.25">
      <c r="A3" t="s">
        <v>207</v>
      </c>
      <c r="B3" s="308">
        <v>0.10662880103199868</v>
      </c>
      <c r="C3" s="308">
        <v>0.11369459608085687</v>
      </c>
      <c r="D3" s="308">
        <v>0.11710327275211138</v>
      </c>
      <c r="E3" s="308">
        <v>0.11755569977560906</v>
      </c>
      <c r="F3" s="308">
        <v>0.1358719612505557</v>
      </c>
      <c r="G3" s="308">
        <v>0.14234926695860842</v>
      </c>
      <c r="H3" s="308">
        <v>0.15200175709897062</v>
      </c>
      <c r="I3" s="308">
        <v>0.1562364076509408</v>
      </c>
      <c r="J3" s="308">
        <v>0.16727888580881903</v>
      </c>
      <c r="K3" s="308">
        <v>0.17344134370573899</v>
      </c>
      <c r="L3" s="308">
        <v>0.1767561671911588</v>
      </c>
      <c r="M3" s="308">
        <v>0.18010536286833809</v>
      </c>
      <c r="N3" s="308">
        <v>0.1918635839687888</v>
      </c>
    </row>
    <row r="4" spans="1:14" x14ac:dyDescent="0.25">
      <c r="A4" t="s">
        <v>208</v>
      </c>
      <c r="B4" s="308">
        <v>0.10662880103199868</v>
      </c>
      <c r="C4" s="308">
        <v>0.11369459608085687</v>
      </c>
      <c r="D4" s="308">
        <v>0.11710327275211138</v>
      </c>
      <c r="E4" s="308">
        <v>0.11755569977560906</v>
      </c>
      <c r="F4" s="308">
        <v>0.12331918226360655</v>
      </c>
      <c r="G4" s="308">
        <v>0.12385914005992826</v>
      </c>
      <c r="H4" s="308">
        <v>0.12559199077701017</v>
      </c>
      <c r="I4" s="308">
        <v>0.12779542774602692</v>
      </c>
      <c r="J4" s="308">
        <v>0.1382066714690581</v>
      </c>
      <c r="K4" s="308">
        <v>0.14475827788144385</v>
      </c>
      <c r="L4" s="308">
        <v>0.1493250598700854</v>
      </c>
      <c r="M4" s="308">
        <v>0.15171906072812538</v>
      </c>
      <c r="N4" s="308">
        <v>0.16938853765354578</v>
      </c>
    </row>
    <row r="5" spans="1:14" x14ac:dyDescent="0.25">
      <c r="A5" t="s">
        <v>209</v>
      </c>
      <c r="B5" s="308">
        <v>0.10662880103199868</v>
      </c>
      <c r="C5" s="308">
        <v>0.11369459608085687</v>
      </c>
      <c r="D5" s="308">
        <v>0.11710327275211138</v>
      </c>
      <c r="E5" s="308">
        <v>0.11755569977560906</v>
      </c>
      <c r="F5" s="308">
        <v>0.1208531128023745</v>
      </c>
      <c r="G5" s="308">
        <v>0.10440919567488001</v>
      </c>
      <c r="H5" s="308">
        <v>9.9196266322718635E-2</v>
      </c>
      <c r="I5" s="308">
        <v>9.5088200686594293E-2</v>
      </c>
      <c r="J5" s="308">
        <v>0.10333870146852688</v>
      </c>
      <c r="K5" s="308">
        <v>0.10648285030359657</v>
      </c>
      <c r="L5" s="308">
        <v>0.10506844750450729</v>
      </c>
      <c r="M5" s="308">
        <v>0.10156901315568456</v>
      </c>
      <c r="N5" s="308">
        <v>0.11127275786439383</v>
      </c>
    </row>
    <row r="6" spans="1:14" x14ac:dyDescent="0.25">
      <c r="A6" t="s">
        <v>210</v>
      </c>
      <c r="B6" s="308">
        <v>0.10662880103199868</v>
      </c>
      <c r="C6" s="308">
        <v>0.11369459608085687</v>
      </c>
      <c r="D6" s="308">
        <v>0.11710327275211138</v>
      </c>
      <c r="E6" s="308">
        <v>0.11755569977560906</v>
      </c>
      <c r="F6" s="308">
        <v>0.11985409885305016</v>
      </c>
      <c r="G6" s="308">
        <v>0.10784272503215624</v>
      </c>
      <c r="H6" s="308">
        <v>9.8085213316608105E-2</v>
      </c>
      <c r="I6" s="308">
        <v>9.1325716189390171E-2</v>
      </c>
      <c r="J6" s="308">
        <v>9.5669660585509395E-2</v>
      </c>
      <c r="K6" s="308">
        <v>9.8984163005270784E-2</v>
      </c>
      <c r="L6" s="308">
        <v>9.4724125760831487E-2</v>
      </c>
      <c r="M6" s="308">
        <v>8.9653923823617906E-2</v>
      </c>
      <c r="N6" s="308">
        <v>9.7269736495039269E-2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V34"/>
  <sheetViews>
    <sheetView zoomScale="85" zoomScaleNormal="85" workbookViewId="0">
      <selection activeCell="B4" sqref="B4"/>
    </sheetView>
  </sheetViews>
  <sheetFormatPr defaultColWidth="9.140625" defaultRowHeight="15" x14ac:dyDescent="0.25"/>
  <cols>
    <col min="1" max="1" width="9.140625" style="56"/>
    <col min="2" max="2" width="38.7109375" style="56" bestFit="1" customWidth="1"/>
    <col min="3" max="3" width="23" style="56" customWidth="1"/>
    <col min="4" max="4" width="19.28515625" style="56" customWidth="1"/>
    <col min="5" max="5" width="17.140625" style="56" customWidth="1"/>
    <col min="6" max="6" width="19" style="56" customWidth="1"/>
    <col min="7" max="22" width="21.140625" style="56" customWidth="1"/>
    <col min="23" max="16384" width="9.140625" style="56"/>
  </cols>
  <sheetData>
    <row r="1" spans="2:22" ht="15.75" thickBot="1" x14ac:dyDescent="0.3"/>
    <row r="2" spans="2:22" ht="15.75" customHeight="1" thickBot="1" x14ac:dyDescent="0.3">
      <c r="B2" s="45" t="s">
        <v>121</v>
      </c>
      <c r="C2" s="46" t="s">
        <v>122</v>
      </c>
      <c r="D2" s="42" t="s">
        <v>118</v>
      </c>
      <c r="E2" s="43" t="s">
        <v>119</v>
      </c>
      <c r="F2" s="44" t="s">
        <v>120</v>
      </c>
      <c r="G2" s="40">
        <v>42005</v>
      </c>
      <c r="H2" s="39">
        <v>42036</v>
      </c>
      <c r="I2" s="39">
        <v>42064</v>
      </c>
      <c r="J2" s="39">
        <v>42095</v>
      </c>
      <c r="K2" s="39">
        <v>42125</v>
      </c>
      <c r="L2" s="39">
        <v>42156</v>
      </c>
      <c r="M2" s="39">
        <v>42186</v>
      </c>
      <c r="N2" s="39">
        <v>42217</v>
      </c>
      <c r="O2" s="39">
        <v>42248</v>
      </c>
      <c r="P2" s="39">
        <v>42278</v>
      </c>
      <c r="Q2" s="39">
        <v>42309</v>
      </c>
      <c r="R2" s="39">
        <v>42339</v>
      </c>
      <c r="S2" s="39">
        <v>42370</v>
      </c>
      <c r="T2" s="39">
        <v>42401</v>
      </c>
      <c r="U2" s="39">
        <v>42430</v>
      </c>
      <c r="V2" s="58"/>
    </row>
    <row r="3" spans="2:22" ht="36" customHeight="1" x14ac:dyDescent="0.25">
      <c r="B3" s="80" t="s">
        <v>126</v>
      </c>
      <c r="C3" s="73" t="s">
        <v>114</v>
      </c>
      <c r="D3" s="435">
        <v>-0.05</v>
      </c>
      <c r="E3" s="435">
        <v>-0.09</v>
      </c>
      <c r="F3" s="430" t="s">
        <v>117</v>
      </c>
      <c r="G3" s="78">
        <v>-28524681.116766695</v>
      </c>
      <c r="H3" s="48">
        <v>-42726118.040184781</v>
      </c>
      <c r="I3" s="48">
        <v>-34868900.261558563</v>
      </c>
      <c r="J3" s="48">
        <v>-37189023.785939023</v>
      </c>
      <c r="K3" s="48">
        <v>-19375187.477280635</v>
      </c>
      <c r="L3" s="48">
        <v>11166524.696373146</v>
      </c>
      <c r="M3" s="48">
        <v>54907686.697528847</v>
      </c>
      <c r="N3" s="48">
        <v>66279060.696542859</v>
      </c>
      <c r="O3" s="48">
        <v>86645447.049999997</v>
      </c>
      <c r="P3" s="48">
        <v>79426155.57372275</v>
      </c>
      <c r="Q3" s="48">
        <v>85340627.761914596</v>
      </c>
      <c r="R3" s="49">
        <v>92184068.42833741</v>
      </c>
      <c r="S3" s="61">
        <v>112723665.80983582</v>
      </c>
      <c r="T3" s="62">
        <v>124106416.11</v>
      </c>
      <c r="U3" s="50">
        <v>142976910.96000001</v>
      </c>
    </row>
    <row r="4" spans="2:22" ht="24.75" thickBot="1" x14ac:dyDescent="0.3">
      <c r="B4" s="81" t="s">
        <v>127</v>
      </c>
      <c r="C4" s="82" t="s">
        <v>116</v>
      </c>
      <c r="D4" s="435"/>
      <c r="E4" s="435"/>
      <c r="F4" s="430"/>
      <c r="G4" s="79">
        <v>3908999017.9102488</v>
      </c>
      <c r="H4" s="52">
        <v>3983952359.2819452</v>
      </c>
      <c r="I4" s="52">
        <v>4190599337.1342125</v>
      </c>
      <c r="J4" s="52">
        <v>4390608503.8294373</v>
      </c>
      <c r="K4" s="52">
        <v>4547611300.7794638</v>
      </c>
      <c r="L4" s="52">
        <v>4806336639.4898596</v>
      </c>
      <c r="M4" s="52">
        <v>5051511930.4455452</v>
      </c>
      <c r="N4" s="52">
        <v>5276328628.1925173</v>
      </c>
      <c r="O4" s="52">
        <v>5443349917.0299997</v>
      </c>
      <c r="P4" s="52">
        <v>5555702780.9117861</v>
      </c>
      <c r="Q4" s="52">
        <v>5645910616.2327042</v>
      </c>
      <c r="R4" s="53">
        <v>5964036305.0740137</v>
      </c>
      <c r="S4" s="52">
        <v>6116331297.8531113</v>
      </c>
      <c r="T4" s="54">
        <v>6117307229.79</v>
      </c>
      <c r="U4" s="54">
        <v>6328401112.0799999</v>
      </c>
    </row>
    <row r="5" spans="2:22" ht="15.75" thickBot="1" x14ac:dyDescent="0.3">
      <c r="B5" s="427" t="s">
        <v>124</v>
      </c>
      <c r="C5" s="428"/>
      <c r="D5" s="436"/>
      <c r="E5" s="436"/>
      <c r="F5" s="431"/>
      <c r="G5" s="55">
        <v>-7.2971829836928409E-3</v>
      </c>
      <c r="H5" s="55">
        <v>-1.0724555463280088E-2</v>
      </c>
      <c r="I5" s="55">
        <v>-8.3207430384895833E-3</v>
      </c>
      <c r="J5" s="55">
        <v>-8.4701297675488924E-3</v>
      </c>
      <c r="K5" s="55">
        <v>-4.2605196873267762E-3</v>
      </c>
      <c r="L5" s="55">
        <v>2.323292256440521E-3</v>
      </c>
      <c r="M5" s="55">
        <v>1.0869554987408684E-2</v>
      </c>
      <c r="N5" s="55">
        <v>1.2561586922846334E-2</v>
      </c>
      <c r="O5" s="55">
        <v>1.5917669885399447E-2</v>
      </c>
      <c r="P5" s="55">
        <v>1.4296329142482953E-2</v>
      </c>
      <c r="Q5" s="55">
        <v>1.5115476238066812E-2</v>
      </c>
      <c r="R5" s="55">
        <v>1.5456657825826801E-2</v>
      </c>
      <c r="S5" s="55">
        <v>1.8429947679486046E-2</v>
      </c>
      <c r="T5" s="55">
        <v>2.0287752674187729E-2</v>
      </c>
      <c r="U5" s="55">
        <v>2.2592896440631397E-2</v>
      </c>
    </row>
    <row r="8" spans="2:22" x14ac:dyDescent="0.25">
      <c r="N8" s="64"/>
      <c r="O8" s="64"/>
    </row>
    <row r="9" spans="2:22" x14ac:dyDescent="0.25">
      <c r="N9" s="64"/>
      <c r="O9" s="64"/>
    </row>
    <row r="10" spans="2:22" x14ac:dyDescent="0.25">
      <c r="O10" s="69"/>
    </row>
    <row r="11" spans="2:22" x14ac:dyDescent="0.25">
      <c r="O11" s="69"/>
    </row>
    <row r="32" spans="6:6" x14ac:dyDescent="0.25">
      <c r="F32" s="76" t="s">
        <v>123</v>
      </c>
    </row>
    <row r="33" spans="6:21" x14ac:dyDescent="0.25">
      <c r="F33" s="56" t="s">
        <v>46</v>
      </c>
      <c r="G33" s="77">
        <v>-0.05</v>
      </c>
      <c r="H33" s="77">
        <v>-0.05</v>
      </c>
      <c r="I33" s="77">
        <v>-0.05</v>
      </c>
      <c r="J33" s="77">
        <v>-0.05</v>
      </c>
      <c r="K33" s="77">
        <v>-0.05</v>
      </c>
      <c r="L33" s="77">
        <v>-0.05</v>
      </c>
      <c r="M33" s="77">
        <v>-0.05</v>
      </c>
      <c r="N33" s="77">
        <v>-0.05</v>
      </c>
      <c r="O33" s="77">
        <v>-0.05</v>
      </c>
      <c r="P33" s="77">
        <v>-0.05</v>
      </c>
      <c r="Q33" s="77">
        <v>-0.05</v>
      </c>
      <c r="R33" s="77">
        <v>-0.05</v>
      </c>
      <c r="S33" s="77">
        <v>-0.05</v>
      </c>
      <c r="T33" s="77">
        <v>-0.05</v>
      </c>
      <c r="U33" s="77">
        <v>-0.05</v>
      </c>
    </row>
    <row r="34" spans="6:21" x14ac:dyDescent="0.25">
      <c r="F34" s="56" t="s">
        <v>47</v>
      </c>
      <c r="G34" s="77">
        <v>-0.09</v>
      </c>
      <c r="H34" s="77">
        <v>-0.09</v>
      </c>
      <c r="I34" s="77">
        <v>-0.09</v>
      </c>
      <c r="J34" s="77">
        <v>-0.09</v>
      </c>
      <c r="K34" s="77">
        <v>-0.09</v>
      </c>
      <c r="L34" s="77">
        <v>-0.09</v>
      </c>
      <c r="M34" s="77">
        <v>-0.09</v>
      </c>
      <c r="N34" s="77">
        <v>-0.09</v>
      </c>
      <c r="O34" s="77">
        <v>-0.09</v>
      </c>
      <c r="P34" s="77">
        <v>-0.09</v>
      </c>
      <c r="Q34" s="77">
        <v>-0.09</v>
      </c>
      <c r="R34" s="77">
        <v>-0.09</v>
      </c>
      <c r="S34" s="77">
        <v>-0.09</v>
      </c>
      <c r="T34" s="77">
        <v>-0.09</v>
      </c>
      <c r="U34" s="77">
        <v>-0.09</v>
      </c>
    </row>
  </sheetData>
  <mergeCells count="4">
    <mergeCell ref="D3:D5"/>
    <mergeCell ref="E3:E5"/>
    <mergeCell ref="F3:F5"/>
    <mergeCell ref="B5:C5"/>
  </mergeCells>
  <conditionalFormatting sqref="G5:U5">
    <cfRule type="cellIs" dxfId="58" priority="8" operator="lessThanOrEqual">
      <formula>$E3</formula>
    </cfRule>
    <cfRule type="cellIs" dxfId="57" priority="9" operator="lessThanOrEqual">
      <formula>$D3</formula>
    </cfRule>
  </conditionalFormatting>
  <conditionalFormatting sqref="G5:U5">
    <cfRule type="cellIs" dxfId="56" priority="7" operator="equal">
      <formula>"Not Available"</formula>
    </cfRule>
  </conditionalFormatting>
  <pageMargins left="0.7" right="0.7" top="0.75" bottom="0.75" header="0.3" footer="0.3"/>
  <pageSetup scale="26" orientation="landscape"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V34"/>
  <sheetViews>
    <sheetView zoomScale="85" zoomScaleNormal="85" workbookViewId="0">
      <selection activeCell="F31" sqref="F31:J34"/>
    </sheetView>
  </sheetViews>
  <sheetFormatPr defaultColWidth="9.140625" defaultRowHeight="15" x14ac:dyDescent="0.25"/>
  <cols>
    <col min="1" max="1" width="3.140625" style="56" customWidth="1"/>
    <col min="2" max="2" width="43.140625" style="56" customWidth="1"/>
    <col min="3" max="3" width="24.28515625" style="56" customWidth="1"/>
    <col min="4" max="6" width="15.7109375" style="56" customWidth="1"/>
    <col min="7" max="21" width="21.140625" style="56" customWidth="1"/>
    <col min="22" max="22" width="1" style="56" customWidth="1"/>
    <col min="23" max="16384" width="9.140625" style="56"/>
  </cols>
  <sheetData>
    <row r="1" spans="1:22" ht="15.75" thickBot="1" x14ac:dyDescent="0.3"/>
    <row r="2" spans="1:22" ht="15.75" thickBot="1" x14ac:dyDescent="0.3">
      <c r="B2" s="45" t="s">
        <v>121</v>
      </c>
      <c r="C2" s="46" t="s">
        <v>122</v>
      </c>
      <c r="D2" s="42" t="s">
        <v>118</v>
      </c>
      <c r="E2" s="43" t="s">
        <v>119</v>
      </c>
      <c r="F2" s="44" t="s">
        <v>120</v>
      </c>
      <c r="G2" s="40">
        <v>42005</v>
      </c>
      <c r="H2" s="39">
        <v>42036</v>
      </c>
      <c r="I2" s="39">
        <v>42064</v>
      </c>
      <c r="J2" s="39">
        <v>42095</v>
      </c>
      <c r="K2" s="39">
        <v>42125</v>
      </c>
      <c r="L2" s="39">
        <v>42156</v>
      </c>
      <c r="M2" s="39">
        <v>42186</v>
      </c>
      <c r="N2" s="39">
        <v>42217</v>
      </c>
      <c r="O2" s="39">
        <v>42248</v>
      </c>
      <c r="P2" s="41">
        <v>42278</v>
      </c>
      <c r="Q2" s="83">
        <v>42309</v>
      </c>
      <c r="R2" s="84">
        <v>42339</v>
      </c>
      <c r="S2" s="84">
        <v>42370</v>
      </c>
      <c r="T2" s="84">
        <v>42401</v>
      </c>
      <c r="U2" s="84">
        <v>42430</v>
      </c>
      <c r="V2" s="58"/>
    </row>
    <row r="3" spans="1:22" ht="65.25" customHeight="1" x14ac:dyDescent="0.25">
      <c r="A3" s="85"/>
      <c r="B3" s="80" t="s">
        <v>130</v>
      </c>
      <c r="C3" s="73" t="s">
        <v>114</v>
      </c>
      <c r="D3" s="435">
        <v>0.75</v>
      </c>
      <c r="E3" s="435">
        <v>0.7</v>
      </c>
      <c r="F3" s="437" t="s">
        <v>117</v>
      </c>
      <c r="G3" s="86">
        <v>29209</v>
      </c>
      <c r="H3" s="86">
        <v>30657</v>
      </c>
      <c r="I3" s="86">
        <v>30766</v>
      </c>
      <c r="J3" s="86">
        <v>30885</v>
      </c>
      <c r="K3" s="86">
        <v>31125</v>
      </c>
      <c r="L3" s="86">
        <v>30229</v>
      </c>
      <c r="M3" s="86">
        <v>30403.121282129698</v>
      </c>
      <c r="N3" s="86">
        <v>32591.524098180998</v>
      </c>
      <c r="O3" s="86">
        <v>32249.938321795453</v>
      </c>
      <c r="P3" s="86">
        <v>32691.70104187469</v>
      </c>
      <c r="Q3" s="87">
        <v>30688.090363770538</v>
      </c>
      <c r="R3" s="87">
        <v>30716</v>
      </c>
      <c r="S3" s="87">
        <v>31290.909499053007</v>
      </c>
      <c r="T3" s="87">
        <v>31249.274933649995</v>
      </c>
      <c r="U3" s="88">
        <v>31526.490892234997</v>
      </c>
    </row>
    <row r="4" spans="1:22" ht="51.75" customHeight="1" thickBot="1" x14ac:dyDescent="0.3">
      <c r="A4" s="85"/>
      <c r="B4" s="98" t="s">
        <v>131</v>
      </c>
      <c r="C4" s="82" t="s">
        <v>116</v>
      </c>
      <c r="D4" s="435"/>
      <c r="E4" s="435"/>
      <c r="F4" s="437"/>
      <c r="G4" s="89">
        <v>31544</v>
      </c>
      <c r="H4" s="89">
        <v>32258</v>
      </c>
      <c r="I4" s="89">
        <v>33599</v>
      </c>
      <c r="J4" s="89">
        <v>33490</v>
      </c>
      <c r="K4" s="89">
        <v>33924</v>
      </c>
      <c r="L4" s="89">
        <v>34803</v>
      </c>
      <c r="M4" s="89">
        <v>34605.951020809996</v>
      </c>
      <c r="N4" s="89">
        <v>34909.513145121127</v>
      </c>
      <c r="O4" s="89">
        <v>34534.012565075995</v>
      </c>
      <c r="P4" s="89">
        <v>34966.433489096016</v>
      </c>
      <c r="Q4" s="89">
        <v>34333.076724334998</v>
      </c>
      <c r="R4" s="89">
        <v>35270</v>
      </c>
      <c r="S4" s="89">
        <v>35859.79906732402</v>
      </c>
      <c r="T4" s="89">
        <v>35777.515974467002</v>
      </c>
      <c r="U4" s="90">
        <v>36523.041120653521</v>
      </c>
    </row>
    <row r="5" spans="1:22" ht="15.75" thickBot="1" x14ac:dyDescent="0.3">
      <c r="B5" s="427" t="s">
        <v>11</v>
      </c>
      <c r="C5" s="428"/>
      <c r="D5" s="436"/>
      <c r="E5" s="436"/>
      <c r="F5" s="438"/>
      <c r="G5" s="55">
        <v>0.92597641389804719</v>
      </c>
      <c r="H5" s="55">
        <v>0.95036890073780145</v>
      </c>
      <c r="I5" s="55">
        <v>0.9156820143456651</v>
      </c>
      <c r="J5" s="55">
        <v>0.92221558674231119</v>
      </c>
      <c r="K5" s="55">
        <v>0.91749204103289705</v>
      </c>
      <c r="L5" s="55">
        <v>0.86857454817113466</v>
      </c>
      <c r="M5" s="55">
        <v>0.87855182086592676</v>
      </c>
      <c r="N5" s="55">
        <v>0.93360007522006694</v>
      </c>
      <c r="O5" s="55">
        <v>0.93386015485526264</v>
      </c>
      <c r="P5" s="55">
        <v>0.93494525405541629</v>
      </c>
      <c r="Q5" s="55">
        <v>0.89383455523574085</v>
      </c>
      <c r="R5" s="55">
        <v>0.87088176920895943</v>
      </c>
      <c r="S5" s="55">
        <v>0.8725902072208136</v>
      </c>
      <c r="T5" s="55">
        <v>0.87343333047356797</v>
      </c>
      <c r="U5" s="55">
        <v>0.86319457320346171</v>
      </c>
    </row>
    <row r="7" spans="1:22" ht="15" customHeight="1" x14ac:dyDescent="0.25">
      <c r="B7" s="94"/>
      <c r="C7" s="94"/>
      <c r="D7" s="94"/>
      <c r="E7" s="94"/>
      <c r="F7" s="94"/>
      <c r="N7" s="95"/>
      <c r="O7" s="95"/>
    </row>
    <row r="8" spans="1:22" x14ac:dyDescent="0.25">
      <c r="B8" s="94"/>
      <c r="C8" s="94"/>
      <c r="D8" s="94"/>
      <c r="E8" s="94"/>
      <c r="F8" s="94"/>
      <c r="N8" s="95"/>
      <c r="O8" s="95"/>
      <c r="S8" s="64"/>
      <c r="T8" s="96"/>
    </row>
    <row r="9" spans="1:22" x14ac:dyDescent="0.25">
      <c r="B9" s="94"/>
      <c r="C9" s="94"/>
      <c r="D9" s="94"/>
      <c r="E9" s="94"/>
      <c r="F9" s="94"/>
      <c r="I9" s="70"/>
      <c r="J9" s="64"/>
      <c r="K9" s="69"/>
    </row>
    <row r="10" spans="1:22" x14ac:dyDescent="0.25">
      <c r="B10" s="94"/>
      <c r="C10" s="94"/>
      <c r="D10" s="94"/>
      <c r="E10" s="94"/>
      <c r="F10" s="94"/>
      <c r="I10" s="70"/>
      <c r="J10" s="64"/>
      <c r="K10" s="69"/>
    </row>
    <row r="11" spans="1:22" x14ac:dyDescent="0.25">
      <c r="B11" s="97"/>
      <c r="C11" s="97"/>
      <c r="D11" s="97"/>
      <c r="E11" s="97"/>
      <c r="F11" s="97"/>
      <c r="H11" s="71"/>
      <c r="I11" s="71"/>
      <c r="J11" s="71"/>
      <c r="K11" s="71"/>
      <c r="L11" s="71"/>
      <c r="M11" s="71"/>
      <c r="N11" s="71"/>
      <c r="O11" s="71"/>
    </row>
    <row r="12" spans="1:22" x14ac:dyDescent="0.25">
      <c r="B12" s="97"/>
      <c r="C12" s="97"/>
      <c r="D12" s="97"/>
      <c r="E12" s="97"/>
      <c r="F12" s="97"/>
    </row>
    <row r="13" spans="1:22" x14ac:dyDescent="0.25">
      <c r="B13" s="97"/>
      <c r="C13" s="97"/>
      <c r="D13" s="97"/>
      <c r="E13" s="97"/>
      <c r="F13" s="97"/>
    </row>
    <row r="14" spans="1:22" x14ac:dyDescent="0.25">
      <c r="B14" s="97"/>
      <c r="C14" s="97"/>
      <c r="D14" s="97"/>
      <c r="E14" s="97"/>
      <c r="F14" s="97"/>
    </row>
    <row r="15" spans="1:22" x14ac:dyDescent="0.25">
      <c r="B15" s="97"/>
      <c r="C15" s="97"/>
      <c r="D15" s="97"/>
      <c r="E15" s="97"/>
      <c r="F15" s="97"/>
    </row>
    <row r="16" spans="1:22" x14ac:dyDescent="0.25">
      <c r="B16" s="97"/>
      <c r="C16" s="97"/>
      <c r="D16" s="97"/>
      <c r="E16" s="97"/>
      <c r="F16" s="97"/>
    </row>
    <row r="17" spans="2:6" x14ac:dyDescent="0.25">
      <c r="B17" s="97"/>
      <c r="C17" s="97"/>
      <c r="D17" s="97"/>
      <c r="E17" s="97"/>
      <c r="F17" s="97"/>
    </row>
    <row r="32" spans="2:6" x14ac:dyDescent="0.25">
      <c r="F32" s="76" t="s">
        <v>123</v>
      </c>
    </row>
    <row r="33" spans="6:21" x14ac:dyDescent="0.25">
      <c r="F33" s="56" t="s">
        <v>46</v>
      </c>
      <c r="G33" s="77">
        <v>0.75</v>
      </c>
      <c r="H33" s="77">
        <v>0.75</v>
      </c>
      <c r="I33" s="77">
        <v>0.75</v>
      </c>
      <c r="J33" s="77">
        <v>0.75</v>
      </c>
      <c r="K33" s="77">
        <v>0.75</v>
      </c>
      <c r="L33" s="77">
        <v>0.75</v>
      </c>
      <c r="M33" s="77">
        <v>0.75</v>
      </c>
      <c r="N33" s="77">
        <v>0.75</v>
      </c>
      <c r="O33" s="77">
        <v>0.75</v>
      </c>
      <c r="P33" s="77">
        <v>0.75</v>
      </c>
      <c r="Q33" s="77">
        <v>0.75</v>
      </c>
      <c r="R33" s="77">
        <v>0.75</v>
      </c>
      <c r="S33" s="77">
        <v>0.75</v>
      </c>
      <c r="T33" s="77">
        <v>0.75</v>
      </c>
      <c r="U33" s="77">
        <v>0.75</v>
      </c>
    </row>
    <row r="34" spans="6:21" x14ac:dyDescent="0.25">
      <c r="F34" s="56" t="s">
        <v>47</v>
      </c>
      <c r="G34" s="77">
        <v>0.7</v>
      </c>
      <c r="H34" s="77">
        <v>0.7</v>
      </c>
      <c r="I34" s="77">
        <v>0.7</v>
      </c>
      <c r="J34" s="77">
        <v>0.7</v>
      </c>
      <c r="K34" s="77">
        <v>0.7</v>
      </c>
      <c r="L34" s="77">
        <v>0.7</v>
      </c>
      <c r="M34" s="77">
        <v>0.7</v>
      </c>
      <c r="N34" s="77">
        <v>0.7</v>
      </c>
      <c r="O34" s="77">
        <v>0.7</v>
      </c>
      <c r="P34" s="77">
        <v>0.7</v>
      </c>
      <c r="Q34" s="77">
        <v>0.7</v>
      </c>
      <c r="R34" s="77">
        <v>0.7</v>
      </c>
      <c r="S34" s="77">
        <v>0.7</v>
      </c>
      <c r="T34" s="77">
        <v>0.7</v>
      </c>
      <c r="U34" s="77">
        <v>0.7</v>
      </c>
    </row>
  </sheetData>
  <mergeCells count="4">
    <mergeCell ref="D3:D5"/>
    <mergeCell ref="E3:E5"/>
    <mergeCell ref="F3:F5"/>
    <mergeCell ref="B5:C5"/>
  </mergeCells>
  <conditionalFormatting sqref="G5:U5">
    <cfRule type="cellIs" dxfId="55" priority="2" operator="equal">
      <formula>"Not Available"</formula>
    </cfRule>
    <cfRule type="cellIs" dxfId="54" priority="5" operator="lessThanOrEqual">
      <formula>$E3</formula>
    </cfRule>
    <cfRule type="cellIs" dxfId="53" priority="6" operator="lessThanOrEqual">
      <formula>$D3</formula>
    </cfRule>
  </conditionalFormatting>
  <pageMargins left="0.7" right="0.7" top="0.75" bottom="0.75" header="0.3" footer="0.3"/>
  <pageSetup scale="27"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22</vt:i4>
      </vt:variant>
      <vt:variant>
        <vt:lpstr>Named Ranges</vt:lpstr>
      </vt:variant>
      <vt:variant>
        <vt:i4>683</vt:i4>
      </vt:variant>
    </vt:vector>
  </HeadingPairs>
  <TitlesOfParts>
    <vt:vector size="705" baseType="lpstr">
      <vt:lpstr>Current metric</vt:lpstr>
      <vt:lpstr>New metric</vt:lpstr>
      <vt:lpstr>CCAR 9Q capital ratios</vt:lpstr>
      <vt:lpstr>Capital adequacy</vt:lpstr>
      <vt:lpstr>TCR</vt:lpstr>
      <vt:lpstr>TCE</vt:lpstr>
      <vt:lpstr>CCAR TCE Ratios</vt:lpstr>
      <vt:lpstr>Residual</vt:lpstr>
      <vt:lpstr>SFR</vt:lpstr>
      <vt:lpstr>ACL</vt:lpstr>
      <vt:lpstr>ACL new</vt:lpstr>
      <vt:lpstr>NII</vt:lpstr>
      <vt:lpstr>MVE</vt:lpstr>
      <vt:lpstr>RWA</vt:lpstr>
      <vt:lpstr>Subprime Assets</vt:lpstr>
      <vt:lpstr>Subprime monthly reports</vt:lpstr>
      <vt:lpstr>Ops Loss to Margin</vt:lpstr>
      <vt:lpstr>Frequency of Events</vt:lpstr>
      <vt:lpstr>SFO - NCO</vt:lpstr>
      <vt:lpstr>Fraud of Total Loan Origination</vt:lpstr>
      <vt:lpstr>OR R1</vt:lpstr>
      <vt:lpstr>Ops Monitoring Metrics</vt:lpstr>
      <vt:lpstr>_vena_CapSCUSAunadjusted_B1_C_1_230858509795983360</vt:lpstr>
      <vt:lpstr>_vena_CapSCUSAunadjusted_B1_C_1_230858525113581568</vt:lpstr>
      <vt:lpstr>_vena_CapSCUSAunadjusted_B1_C_1_230858539172888576</vt:lpstr>
      <vt:lpstr>_vena_CapSCUSAunadjusted_B1_C_1_230858563583737856</vt:lpstr>
      <vt:lpstr>_vena_CapSCUSAunadjusted_B1_C_1_230858841607110656</vt:lpstr>
      <vt:lpstr>_vena_CapSCUSAunadjusted_B1_C_1_230858841607110656_1</vt:lpstr>
      <vt:lpstr>_vena_CapSCUSAunadjusted_B1_C_1_230858841607110656_2</vt:lpstr>
      <vt:lpstr>_vena_CapSCUSAunadjusted_B1_C_1_230858841607110656_3</vt:lpstr>
      <vt:lpstr>_vena_CapSCUSAunadjusted_B1_C_1_230858841607110656_4</vt:lpstr>
      <vt:lpstr>_vena_CapSCUSAunadjusted_B1_C_1_230858864537370624</vt:lpstr>
      <vt:lpstr>_vena_CapSCUSAunadjusted_B1_C_1_230858864537370624_1</vt:lpstr>
      <vt:lpstr>_vena_CapSCUSAunadjusted_B1_C_1_230858864537370624_2</vt:lpstr>
      <vt:lpstr>_vena_CapSCUSAunadjusted_B1_C_1_230858864537370624_3</vt:lpstr>
      <vt:lpstr>_vena_CapSCUSAunadjusted_B1_C_1_230858864537370624_4</vt:lpstr>
      <vt:lpstr>_vena_CapSCUSAunadjusted_B1_C_1_230858883713728512</vt:lpstr>
      <vt:lpstr>_vena_CapSCUSAunadjusted_B1_C_1_230858883713728512_1</vt:lpstr>
      <vt:lpstr>_vena_CapSCUSAunadjusted_B1_C_1_230858883713728512_2</vt:lpstr>
      <vt:lpstr>_vena_CapSCUSAunadjusted_B1_C_1_230858883713728512_3</vt:lpstr>
      <vt:lpstr>_vena_CapSCUSAunadjusted_B1_C_1_230858883713728512_4</vt:lpstr>
      <vt:lpstr>_vena_CapSCUSAunadjusted_B1_C_1_230858941431545856</vt:lpstr>
      <vt:lpstr>_vena_CapSCUSAunadjusted_B1_C_1_230858941431545856_1</vt:lpstr>
      <vt:lpstr>_vena_CapSCUSAunadjusted_B1_C_1_230858941431545856_2</vt:lpstr>
      <vt:lpstr>_vena_CapSCUSAunadjusted_B1_C_1_230858941431545856_3</vt:lpstr>
      <vt:lpstr>_vena_CapSCUSAunadjusted_B1_C_1_230858941431545856_4</vt:lpstr>
      <vt:lpstr>_vena_CapSCUSAunadjusted_B1_C_1_230859049971744768</vt:lpstr>
      <vt:lpstr>_vena_CapSCUSAunadjusted_B1_C_1_230859049971744768_1</vt:lpstr>
      <vt:lpstr>_vena_CapSCUSAunadjusted_B1_C_1_230859049971744768_2</vt:lpstr>
      <vt:lpstr>_vena_CapSCUSAunadjusted_B1_C_1_230859049971744768_3</vt:lpstr>
      <vt:lpstr>_vena_CapSCUSAunadjusted_B1_C_1_230859049971744768_4</vt:lpstr>
      <vt:lpstr>_vena_CapSCUSAunadjusted_B1_C_1_230859064827969536</vt:lpstr>
      <vt:lpstr>_vena_CapSCUSAunadjusted_B1_C_1_230859064827969536_1</vt:lpstr>
      <vt:lpstr>_vena_CapSCUSAunadjusted_B1_C_1_230859064827969536_2</vt:lpstr>
      <vt:lpstr>_vena_CapSCUSAunadjusted_B1_C_1_230859064827969536_3</vt:lpstr>
      <vt:lpstr>_vena_CapSCUSAunadjusted_B1_C_1_230859064827969536_4</vt:lpstr>
      <vt:lpstr>_vena_CapSCUSAunadjusted_B1_C_1_230859078451068928</vt:lpstr>
      <vt:lpstr>_vena_CapSCUSAunadjusted_B1_C_1_230859078451068928_1</vt:lpstr>
      <vt:lpstr>_vena_CapSCUSAunadjusted_B1_C_1_230859078451068928_2</vt:lpstr>
      <vt:lpstr>_vena_CapSCUSAunadjusted_B1_C_1_230859078451068928_3</vt:lpstr>
      <vt:lpstr>_vena_CapSCUSAunadjusted_B1_C_1_230859078451068928_4</vt:lpstr>
      <vt:lpstr>_vena_CapSCUSAunadjusted_B1_C_1_230859093835776000</vt:lpstr>
      <vt:lpstr>_vena_CapSCUSAunadjusted_B1_C_1_230859093835776000_1</vt:lpstr>
      <vt:lpstr>_vena_CapSCUSAunadjusted_B1_C_1_230859093835776000_2</vt:lpstr>
      <vt:lpstr>_vena_CapSCUSAunadjusted_B1_C_1_230859093835776000_3</vt:lpstr>
      <vt:lpstr>_vena_CapSCUSAunadjusted_B1_C_1_230859093835776000_4</vt:lpstr>
      <vt:lpstr>_vena_CapSCUSAunadjusted_B1_C_1_248550486083371008</vt:lpstr>
      <vt:lpstr>_vena_CapSCUSAunadjusted_B1_C_1_248550486083371008_1</vt:lpstr>
      <vt:lpstr>_vena_CapSCUSAunadjusted_B1_C_1_248550486083371008_2</vt:lpstr>
      <vt:lpstr>_vena_CapSCUSAunadjusted_B1_C_1_248550486083371008_3</vt:lpstr>
      <vt:lpstr>_vena_CapSCUSAunadjusted_B1_C_1_248550486083371008_4</vt:lpstr>
      <vt:lpstr>_vena_CapSCUSAunadjusted_B1_C_2_230860126356111360</vt:lpstr>
      <vt:lpstr>_vena_CapSCUSAunadjusted_B1_C_2_230860226616754176</vt:lpstr>
      <vt:lpstr>_vena_CapSCUSAunadjusted_B1_C_2_230860226616754176_1</vt:lpstr>
      <vt:lpstr>_vena_CapSCUSAunadjusted_B1_C_2_230860226616754176_2</vt:lpstr>
      <vt:lpstr>_vena_CapSCUSAunadjusted_B1_C_2_230860226616754176_3</vt:lpstr>
      <vt:lpstr>_vena_CapSCUSAunadjusted_B1_C_2_230860226616754176_4</vt:lpstr>
      <vt:lpstr>_vena_CapSCUSAunadjusted_B1_C_2_230860237857488896</vt:lpstr>
      <vt:lpstr>_vena_CapSCUSAunadjusted_B1_C_2_230860237857488896_1</vt:lpstr>
      <vt:lpstr>_vena_CapSCUSAunadjusted_B1_C_2_230860237857488896_2</vt:lpstr>
      <vt:lpstr>_vena_CapSCUSAunadjusted_B1_C_2_230860237857488896_3</vt:lpstr>
      <vt:lpstr>_vena_CapSCUSAunadjusted_B1_C_2_230860237857488896_4</vt:lpstr>
      <vt:lpstr>_vena_CapSCUSAunadjusted_B1_C_2_230860246497755136</vt:lpstr>
      <vt:lpstr>_vena_CapSCUSAunadjusted_B1_C_2_230860246497755136_1</vt:lpstr>
      <vt:lpstr>_vena_CapSCUSAunadjusted_B1_C_2_230860246497755136_2</vt:lpstr>
      <vt:lpstr>_vena_CapSCUSAunadjusted_B1_C_2_230860246497755136_3</vt:lpstr>
      <vt:lpstr>_vena_CapSCUSAunadjusted_B1_C_2_230860246497755136_4</vt:lpstr>
      <vt:lpstr>_vena_CapSCUSAunadjusted_B1_C_2_230860256148848640</vt:lpstr>
      <vt:lpstr>_vena_CapSCUSAunadjusted_B1_C_2_230860256148848640_1</vt:lpstr>
      <vt:lpstr>_vena_CapSCUSAunadjusted_B1_C_2_230860256148848640_2</vt:lpstr>
      <vt:lpstr>_vena_CapSCUSAunadjusted_B1_C_2_230860256148848640_3</vt:lpstr>
      <vt:lpstr>_vena_CapSCUSAunadjusted_B1_C_2_230860256148848640_4</vt:lpstr>
      <vt:lpstr>_vena_CapSCUSAunadjusted_B1_C_2_230860293570428928</vt:lpstr>
      <vt:lpstr>_vena_CapSCUSAunadjusted_B1_C_2_230860293570428928_1</vt:lpstr>
      <vt:lpstr>_vena_CapSCUSAunadjusted_B1_C_2_230860293570428928_2</vt:lpstr>
      <vt:lpstr>_vena_CapSCUSAunadjusted_B1_C_2_230860293570428928_3</vt:lpstr>
      <vt:lpstr>_vena_CapSCUSAunadjusted_B1_C_2_230860293570428928_4</vt:lpstr>
      <vt:lpstr>_vena_CapSCUSAunadjusted_B1_C_2_230860306308530176</vt:lpstr>
      <vt:lpstr>_vena_CapSCUSAunadjusted_B1_C_2_230860306308530176_1</vt:lpstr>
      <vt:lpstr>_vena_CapSCUSAunadjusted_B1_C_2_230860306308530176_2</vt:lpstr>
      <vt:lpstr>_vena_CapSCUSAunadjusted_B1_C_2_230860306308530176_3</vt:lpstr>
      <vt:lpstr>_vena_CapSCUSAunadjusted_B1_C_2_230860306308530176_4</vt:lpstr>
      <vt:lpstr>_vena_CapSCUSAunadjusted_B1_C_2_230860320749518848</vt:lpstr>
      <vt:lpstr>_vena_CapSCUSAunadjusted_B1_C_2_230860320749518848_1</vt:lpstr>
      <vt:lpstr>_vena_CapSCUSAunadjusted_B1_C_2_230860320749518848_2</vt:lpstr>
      <vt:lpstr>_vena_CapSCUSAunadjusted_B1_C_2_230860320749518848_3</vt:lpstr>
      <vt:lpstr>_vena_CapSCUSAunadjusted_B1_C_2_230860320749518848_4</vt:lpstr>
      <vt:lpstr>_vena_CapSCUSAunadjusted_B1_C_2_230860332363546624</vt:lpstr>
      <vt:lpstr>_vena_CapSCUSAunadjusted_B1_C_2_230860332363546624_1</vt:lpstr>
      <vt:lpstr>_vena_CapSCUSAunadjusted_B1_C_2_230860332363546624_2</vt:lpstr>
      <vt:lpstr>_vena_CapSCUSAunadjusted_B1_C_2_230860332363546624_3</vt:lpstr>
      <vt:lpstr>_vena_CapSCUSAunadjusted_B1_C_2_230860332363546624_4</vt:lpstr>
      <vt:lpstr>_vena_CapSCUSAunadjusted_B1_C_2_230860342882861056</vt:lpstr>
      <vt:lpstr>_vena_CapSCUSAunadjusted_B1_C_2_230860342882861056_1</vt:lpstr>
      <vt:lpstr>_vena_CapSCUSAunadjusted_B1_C_2_230860342882861056_2</vt:lpstr>
      <vt:lpstr>_vena_CapSCUSAunadjusted_B1_C_2_230860342882861056_3</vt:lpstr>
      <vt:lpstr>_vena_CapSCUSAunadjusted_B1_C_2_230860342882861056_4</vt:lpstr>
      <vt:lpstr>_vena_CapSCUSAunadjusted_B1_C_2_248614950019268608</vt:lpstr>
      <vt:lpstr>_vena_CapSCUSAunadjusted_B1_C_2_248614950019268608_1</vt:lpstr>
      <vt:lpstr>_vena_CapSCUSAunadjusted_B1_C_2_248614950019268608_2</vt:lpstr>
      <vt:lpstr>_vena_CapSCUSAunadjusted_B1_C_3_230860830692999168</vt:lpstr>
      <vt:lpstr>_vena_CapSCUSAunadjusted_B1_C_3_230860830692999168_1</vt:lpstr>
      <vt:lpstr>_vena_CapSCUSAunadjusted_B1_C_3_230860830692999168_10</vt:lpstr>
      <vt:lpstr>_vena_CapSCUSAunadjusted_B1_C_3_230860830692999168_11</vt:lpstr>
      <vt:lpstr>_vena_CapSCUSAunadjusted_B1_C_3_230860830692999168_12</vt:lpstr>
      <vt:lpstr>_vena_CapSCUSAunadjusted_B1_C_3_230860830692999168_13</vt:lpstr>
      <vt:lpstr>_vena_CapSCUSAunadjusted_B1_C_3_230860830692999168_14</vt:lpstr>
      <vt:lpstr>_vena_CapSCUSAunadjusted_B1_C_3_230860830692999168_15</vt:lpstr>
      <vt:lpstr>_vena_CapSCUSAunadjusted_B1_C_3_230860830692999168_16</vt:lpstr>
      <vt:lpstr>_vena_CapSCUSAunadjusted_B1_C_3_230860830692999168_17</vt:lpstr>
      <vt:lpstr>_vena_CapSCUSAunadjusted_B1_C_3_230860830692999168_18</vt:lpstr>
      <vt:lpstr>_vena_CapSCUSAunadjusted_B1_C_3_230860830692999168_19</vt:lpstr>
      <vt:lpstr>_vena_CapSCUSAunadjusted_B1_C_3_230860830692999168_2</vt:lpstr>
      <vt:lpstr>_vena_CapSCUSAunadjusted_B1_C_3_230860830692999168_20</vt:lpstr>
      <vt:lpstr>_vena_CapSCUSAunadjusted_B1_C_3_230860830692999168_21</vt:lpstr>
      <vt:lpstr>_vena_CapSCUSAunadjusted_B1_C_3_230860830692999168_22</vt:lpstr>
      <vt:lpstr>_vena_CapSCUSAunadjusted_B1_C_3_230860830692999168_23</vt:lpstr>
      <vt:lpstr>_vena_CapSCUSAunadjusted_B1_C_3_230860830692999168_24</vt:lpstr>
      <vt:lpstr>_vena_CapSCUSAunadjusted_B1_C_3_230860830692999168_25</vt:lpstr>
      <vt:lpstr>_vena_CapSCUSAunadjusted_B1_C_3_230860830692999168_26</vt:lpstr>
      <vt:lpstr>_vena_CapSCUSAunadjusted_B1_C_3_230860830692999168_27</vt:lpstr>
      <vt:lpstr>_vena_CapSCUSAunadjusted_B1_C_3_230860830692999168_28</vt:lpstr>
      <vt:lpstr>_vena_CapSCUSAunadjusted_B1_C_3_230860830692999168_29</vt:lpstr>
      <vt:lpstr>_vena_CapSCUSAunadjusted_B1_C_3_230860830692999168_3</vt:lpstr>
      <vt:lpstr>_vena_CapSCUSAunadjusted_B1_C_3_230860830692999168_30</vt:lpstr>
      <vt:lpstr>_vena_CapSCUSAunadjusted_B1_C_3_230860830692999168_31</vt:lpstr>
      <vt:lpstr>_vena_CapSCUSAunadjusted_B1_C_3_230860830692999168_32</vt:lpstr>
      <vt:lpstr>_vena_CapSCUSAunadjusted_B1_C_3_230860830692999168_33</vt:lpstr>
      <vt:lpstr>_vena_CapSCUSAunadjusted_B1_C_3_230860830692999168_34</vt:lpstr>
      <vt:lpstr>_vena_CapSCUSAunadjusted_B1_C_3_230860830692999168_35</vt:lpstr>
      <vt:lpstr>_vena_CapSCUSAunadjusted_B1_C_3_230860830692999168_36</vt:lpstr>
      <vt:lpstr>_vena_CapSCUSAunadjusted_B1_C_3_230860830692999168_37</vt:lpstr>
      <vt:lpstr>_vena_CapSCUSAunadjusted_B1_C_3_230860830692999168_38</vt:lpstr>
      <vt:lpstr>_vena_CapSCUSAunadjusted_B1_C_3_230860830692999168_39</vt:lpstr>
      <vt:lpstr>_vena_CapSCUSAunadjusted_B1_C_3_230860830692999168_4</vt:lpstr>
      <vt:lpstr>_vena_CapSCUSAunadjusted_B1_C_3_230860830692999168_40</vt:lpstr>
      <vt:lpstr>_vena_CapSCUSAunadjusted_B1_C_3_230860830692999168_41</vt:lpstr>
      <vt:lpstr>_vena_CapSCUSAunadjusted_B1_C_3_230860830692999168_42</vt:lpstr>
      <vt:lpstr>_vena_CapSCUSAunadjusted_B1_C_3_230860830692999168_43</vt:lpstr>
      <vt:lpstr>_vena_CapSCUSAunadjusted_B1_C_3_230860830692999168_44</vt:lpstr>
      <vt:lpstr>_vena_CapSCUSAunadjusted_B1_C_3_230860830692999168_45</vt:lpstr>
      <vt:lpstr>_vena_CapSCUSAunadjusted_B1_C_3_230860830692999168_5</vt:lpstr>
      <vt:lpstr>_vena_CapSCUSAunadjusted_B1_C_3_230860830692999168_6</vt:lpstr>
      <vt:lpstr>_vena_CapSCUSAunadjusted_B1_C_3_230860830692999168_7</vt:lpstr>
      <vt:lpstr>_vena_CapSCUSAunadjusted_B1_C_3_230860830692999168_8</vt:lpstr>
      <vt:lpstr>_vena_CapSCUSAunadjusted_B1_C_3_230860830692999168_9</vt:lpstr>
      <vt:lpstr>_vena_CapSCUSAunadjusted_B1_C_3_230860959693012992</vt:lpstr>
      <vt:lpstr>_vena_CapSCUSAunadjusted_B1_C_3_230860959693012992_1</vt:lpstr>
      <vt:lpstr>_vena_CapSCUSAunadjusted_B1_C_3_230860959693012992_2</vt:lpstr>
      <vt:lpstr>_vena_CapSCUSAunadjusted_B1_C_4_230862887281885184</vt:lpstr>
      <vt:lpstr>_vena_CapSCUSAunadjusted_B1_C_4_230862887281885184_1</vt:lpstr>
      <vt:lpstr>_vena_CapSCUSAunadjusted_B1_C_4_230862887281885184_2</vt:lpstr>
      <vt:lpstr>_vena_CapSCUSAunadjusted_B1_C_4_230862887281885184_3</vt:lpstr>
      <vt:lpstr>_vena_CapSCUSAunadjusted_B1_C_4_230862887281885184_4</vt:lpstr>
      <vt:lpstr>_vena_CapSCUSAunadjusted_B1_C_4_230862887281885184_5</vt:lpstr>
      <vt:lpstr>_vena_CapSCUSAunadjusted_B1_C_4_230862887281885184_6</vt:lpstr>
      <vt:lpstr>_vena_CapSCUSAunadjusted_B1_C_4_230862887281885184_7</vt:lpstr>
      <vt:lpstr>_vena_CapSCUSAunadjusted_B1_C_4_230862887281885184_8</vt:lpstr>
      <vt:lpstr>_vena_CapSCUSAunadjusted_B1_C_4_230862937282183168</vt:lpstr>
      <vt:lpstr>_vena_CapSCUSAunadjusted_B1_C_4_230862937282183168_1</vt:lpstr>
      <vt:lpstr>_vena_CapSCUSAunadjusted_B1_C_4_230862937282183168_2</vt:lpstr>
      <vt:lpstr>_vena_CapSCUSAunadjusted_B1_C_4_230862937282183168_3</vt:lpstr>
      <vt:lpstr>_vena_CapSCUSAunadjusted_B1_C_4_230862937282183168_4</vt:lpstr>
      <vt:lpstr>_vena_CapSCUSAunadjusted_B1_C_4_230862937282183168_5</vt:lpstr>
      <vt:lpstr>_vena_CapSCUSAunadjusted_B1_C_4_230862937282183168_6</vt:lpstr>
      <vt:lpstr>_vena_CapSCUSAunadjusted_B1_C_4_230862937282183168_7</vt:lpstr>
      <vt:lpstr>_vena_CapSCUSAunadjusted_B1_C_4_230862937282183168_8</vt:lpstr>
      <vt:lpstr>_vena_CapSCUSAunadjusted_B1_C_4_230862963278479360</vt:lpstr>
      <vt:lpstr>_vena_CapSCUSAunadjusted_B1_C_4_230862963278479360_1</vt:lpstr>
      <vt:lpstr>_vena_CapSCUSAunadjusted_B1_C_4_230862963278479360_2</vt:lpstr>
      <vt:lpstr>_vena_CapSCUSAunadjusted_B1_C_4_230862963278479360_3</vt:lpstr>
      <vt:lpstr>_vena_CapSCUSAunadjusted_B1_C_4_230862963278479360_4</vt:lpstr>
      <vt:lpstr>_vena_CapSCUSAunadjusted_B1_C_4_230862963278479360_5</vt:lpstr>
      <vt:lpstr>_vena_CapSCUSAunadjusted_B1_C_4_230862963278479360_6</vt:lpstr>
      <vt:lpstr>_vena_CapSCUSAunadjusted_B1_C_4_230862963278479360_7</vt:lpstr>
      <vt:lpstr>_vena_CapSCUSAunadjusted_B1_C_4_230862963278479360_8</vt:lpstr>
      <vt:lpstr>_vena_CapSCUSAunadjusted_B1_C_4_230863001366953984</vt:lpstr>
      <vt:lpstr>_vena_CapSCUSAunadjusted_B1_C_4_230863001366953984_1</vt:lpstr>
      <vt:lpstr>_vena_CapSCUSAunadjusted_B1_C_4_230863001366953984_2</vt:lpstr>
      <vt:lpstr>_vena_CapSCUSAunadjusted_B1_C_4_230863001366953984_3</vt:lpstr>
      <vt:lpstr>_vena_CapSCUSAunadjusted_B1_C_4_230863001366953984_4</vt:lpstr>
      <vt:lpstr>_vena_CapSCUSAunadjusted_B1_C_4_230863001366953984_5</vt:lpstr>
      <vt:lpstr>_vena_CapSCUSAunadjusted_B1_C_4_230863001366953984_6</vt:lpstr>
      <vt:lpstr>_vena_CapSCUSAunadjusted_B1_C_4_230863001366953984_7</vt:lpstr>
      <vt:lpstr>_vena_CapSCUSAunadjusted_B1_C_4_230863001366953984_8</vt:lpstr>
      <vt:lpstr>_vena_CapSCUSAunadjusted_B1_C_4_230863046111789056</vt:lpstr>
      <vt:lpstr>_vena_CapSCUSAunadjusted_B1_C_4_230863046111789056_1</vt:lpstr>
      <vt:lpstr>_vena_CapSCUSAunadjusted_B1_C_4_230863046111789056_2</vt:lpstr>
      <vt:lpstr>_vena_CapSCUSAunadjusted_B1_C_4_230863046111789056_3</vt:lpstr>
      <vt:lpstr>_vena_CapSCUSAunadjusted_B1_C_4_230863046111789056_4</vt:lpstr>
      <vt:lpstr>_vena_CapSCUSAunadjusted_B1_C_4_230863046111789056_5</vt:lpstr>
      <vt:lpstr>_vena_CapSCUSAunadjusted_B1_C_4_230863046111789056_6</vt:lpstr>
      <vt:lpstr>_vena_CapSCUSAunadjusted_B1_C_4_230863046111789056_7</vt:lpstr>
      <vt:lpstr>_vena_CapSCUSAunadjusted_B1_C_4_230863046111789056_8</vt:lpstr>
      <vt:lpstr>_vena_CapSCUSAunadjusted_B1_C_4_230863071093063680</vt:lpstr>
      <vt:lpstr>_vena_CapSCUSAunadjusted_B1_C_4_230863071093063680_1</vt:lpstr>
      <vt:lpstr>_vena_CapSCUSAunadjusted_B1_C_4_230863071093063680_2</vt:lpstr>
      <vt:lpstr>_vena_CapSCUSAunadjusted_B1_C_4_230863071093063680_3</vt:lpstr>
      <vt:lpstr>_vena_CapSCUSAunadjusted_B1_C_FV_6053e8fe227041fcbe8015c4f16779fe_10</vt:lpstr>
      <vt:lpstr>_vena_CapSCUSAunadjusted_B1_C_FV_6053e8fe227041fcbe8015c4f16779fe_11</vt:lpstr>
      <vt:lpstr>_vena_CapSCUSAunadjusted_B1_C_FV_6053e8fe227041fcbe8015c4f16779fe_12</vt:lpstr>
      <vt:lpstr>_vena_CapSCUSAunadjusted_B1_C_FV_6053e8fe227041fcbe8015c4f16779fe_13</vt:lpstr>
      <vt:lpstr>_vena_CapSCUSAunadjusted_B1_C_FV_6053e8fe227041fcbe8015c4f16779fe_14</vt:lpstr>
      <vt:lpstr>_vena_CapSCUSAunadjusted_B1_C_FV_6053e8fe227041fcbe8015c4f16779fe_15</vt:lpstr>
      <vt:lpstr>_vena_CapSCUSAunadjusted_B1_C_FV_6053e8fe227041fcbe8015c4f16779fe_16</vt:lpstr>
      <vt:lpstr>_vena_CapSCUSAunadjusted_B1_C_FV_6053e8fe227041fcbe8015c4f16779fe_17</vt:lpstr>
      <vt:lpstr>_vena_CapSCUSAunadjusted_B1_C_FV_6053e8fe227041fcbe8015c4f16779fe_18</vt:lpstr>
      <vt:lpstr>_vena_CapSCUSAunadjusted_B1_C_FV_6053e8fe227041fcbe8015c4f16779fe_19</vt:lpstr>
      <vt:lpstr>_vena_CapSCUSAunadjusted_B1_C_FV_6053e8fe227041fcbe8015c4f16779fe_20</vt:lpstr>
      <vt:lpstr>_vena_CapSCUSAunadjusted_B1_C_FV_6053e8fe227041fcbe8015c4f16779fe_21</vt:lpstr>
      <vt:lpstr>_vena_CapSCUSAunadjusted_B1_C_FV_6053e8fe227041fcbe8015c4f16779fe_22</vt:lpstr>
      <vt:lpstr>_vena_CapSCUSAunadjusted_B1_C_FV_6053e8fe227041fcbe8015c4f16779fe_23</vt:lpstr>
      <vt:lpstr>_vena_CapSCUSAunadjusted_B1_C_FV_6053e8fe227041fcbe8015c4f16779fe_24</vt:lpstr>
      <vt:lpstr>_vena_CapSCUSAunadjusted_B1_C_FV_6053e8fe227041fcbe8015c4f16779fe_25</vt:lpstr>
      <vt:lpstr>_vena_CapSCUSAunadjusted_B1_C_FV_6053e8fe227041fcbe8015c4f16779fe_26</vt:lpstr>
      <vt:lpstr>_vena_CapSCUSAunadjusted_B1_C_FV_6053e8fe227041fcbe8015c4f16779fe_27</vt:lpstr>
      <vt:lpstr>_vena_CapSCUSAunadjusted_B1_C_FV_6053e8fe227041fcbe8015c4f16779fe_28</vt:lpstr>
      <vt:lpstr>_vena_CapSCUSAunadjusted_B1_C_FV_6053e8fe227041fcbe8015c4f16779fe_29</vt:lpstr>
      <vt:lpstr>_vena_CapSCUSAunadjusted_B1_C_FV_6053e8fe227041fcbe8015c4f16779fe_30</vt:lpstr>
      <vt:lpstr>_vena_CapSCUSAunadjusted_B1_C_FV_6053e8fe227041fcbe8015c4f16779fe_31</vt:lpstr>
      <vt:lpstr>_vena_CapSCUSAunadjusted_B1_C_FV_6053e8fe227041fcbe8015c4f16779fe_32</vt:lpstr>
      <vt:lpstr>_vena_CapSCUSAunadjusted_B1_C_FV_6053e8fe227041fcbe8015c4f16779fe_33</vt:lpstr>
      <vt:lpstr>_vena_CapSCUSAunadjusted_B1_C_FV_6053e8fe227041fcbe8015c4f16779fe_34</vt:lpstr>
      <vt:lpstr>_vena_CapSCUSAunadjusted_B1_C_FV_6053e8fe227041fcbe8015c4f16779fe_35</vt:lpstr>
      <vt:lpstr>_vena_CapSCUSAunadjusted_B1_C_FV_6053e8fe227041fcbe8015c4f16779fe_36</vt:lpstr>
      <vt:lpstr>_vena_CapSCUSAunadjusted_B1_C_FV_6053e8fe227041fcbe8015c4f16779fe_37</vt:lpstr>
      <vt:lpstr>_vena_CapSCUSAunadjusted_B1_C_FV_6053e8fe227041fcbe8015c4f16779fe_38</vt:lpstr>
      <vt:lpstr>_vena_CapSCUSAunadjusted_B1_C_FV_6053e8fe227041fcbe8015c4f16779fe_39</vt:lpstr>
      <vt:lpstr>_vena_CapSCUSAunadjusted_B1_C_FV_6053e8fe227041fcbe8015c4f16779fe_40</vt:lpstr>
      <vt:lpstr>_vena_CapSCUSAunadjusted_B1_C_FV_6053e8fe227041fcbe8015c4f16779fe_41</vt:lpstr>
      <vt:lpstr>_vena_CapSCUSAunadjusted_B1_C_FV_6053e8fe227041fcbe8015c4f16779fe_42</vt:lpstr>
      <vt:lpstr>_vena_CapSCUSAunadjusted_B1_C_FV_6053e8fe227041fcbe8015c4f16779fe_43</vt:lpstr>
      <vt:lpstr>_vena_CapSCUSAunadjusted_B1_C_FV_6053e8fe227041fcbe8015c4f16779fe_44</vt:lpstr>
      <vt:lpstr>_vena_CapSCUSAunadjusted_B1_C_FV_6053e8fe227041fcbe8015c4f16779fe_45</vt:lpstr>
      <vt:lpstr>_vena_CapSCUSAunadjusted_B1_C_FV_6053e8fe227041fcbe8015c4f16779fe_46</vt:lpstr>
      <vt:lpstr>_vena_CapSCUSAunadjusted_B1_C_FV_6053e8fe227041fcbe8015c4f16779fe_47</vt:lpstr>
      <vt:lpstr>_vena_CapSCUSAunadjusted_B1_C_FV_6053e8fe227041fcbe8015c4f16779fe_48</vt:lpstr>
      <vt:lpstr>_vena_CapSCUSAunadjusted_B1_C_FV_6053e8fe227041fcbe8015c4f16779fe_49</vt:lpstr>
      <vt:lpstr>_vena_CapSCUSAunadjusted_B1_C_FV_6053e8fe227041fcbe8015c4f16779fe_5</vt:lpstr>
      <vt:lpstr>_vena_CapSCUSAunadjusted_B1_C_FV_6053e8fe227041fcbe8015c4f16779fe_50</vt:lpstr>
      <vt:lpstr>_vena_CapSCUSAunadjusted_B1_C_FV_6053e8fe227041fcbe8015c4f16779fe_51</vt:lpstr>
      <vt:lpstr>_vena_CapSCUSAunadjusted_B1_C_FV_6053e8fe227041fcbe8015c4f16779fe_52</vt:lpstr>
      <vt:lpstr>_vena_CapSCUSAunadjusted_B1_C_FV_6053e8fe227041fcbe8015c4f16779fe_53</vt:lpstr>
      <vt:lpstr>_vena_CapSCUSAunadjusted_B1_C_FV_6053e8fe227041fcbe8015c4f16779fe_6</vt:lpstr>
      <vt:lpstr>_vena_CapSCUSAunadjusted_B1_C_FV_6053e8fe227041fcbe8015c4f16779fe_7</vt:lpstr>
      <vt:lpstr>_vena_CapSCUSAunadjusted_B1_C_FV_6053e8fe227041fcbe8015c4f16779fe_8</vt:lpstr>
      <vt:lpstr>_vena_CapSCUSAunadjusted_B1_C_FV_6053e8fe227041fcbe8015c4f16779fe_9</vt:lpstr>
      <vt:lpstr>_vena_CapSCUSAunadjusted_B1_R_6_230844512380125185</vt:lpstr>
      <vt:lpstr>_vena_CapSCUSAunadjusted_B1_R_6_230844512384319489</vt:lpstr>
      <vt:lpstr>_vena_CapSCUSAunadjusted_B1_R_6_230844512392708096</vt:lpstr>
      <vt:lpstr>_vena_CapSCUSAunadjusted_B1_R_6_230844513344815105</vt:lpstr>
      <vt:lpstr>_vena_CapSCUSAunadjusted_B1_R_6_230844513944600577</vt:lpstr>
      <vt:lpstr>_vena_CapSCUSAunadjusted_B1_R_6_230844513952989185</vt:lpstr>
      <vt:lpstr>_vena_CapSCUSAunadjusted_B1_R_6_230844515102228481</vt:lpstr>
      <vt:lpstr>_vena_CapSCUSAunadjusted_B1_R_6_230844515106422785</vt:lpstr>
      <vt:lpstr>_vena_CapSCUSAunadjusted_B1_R_6_230844515110617089</vt:lpstr>
      <vt:lpstr>_vena_CapSCUSAunadjusted_B1_R_6_248210771032539137</vt:lpstr>
      <vt:lpstr>_vena_CapSCUSAunadjusted_B1_R_6_248210771053510656</vt:lpstr>
      <vt:lpstr>_vena_CapSCUSAunadjusted_B1_R_6_248210771066093569</vt:lpstr>
      <vt:lpstr>_vena_CapSCUSAunadjusted_B1_R_6_248210771070287882</vt:lpstr>
      <vt:lpstr>_vena_CapSCUSAunadjusted_B1_R_6_248210771074482177</vt:lpstr>
      <vt:lpstr>_vena_CapSCUSAunadjusted_B1_R_6_248210771082870785</vt:lpstr>
      <vt:lpstr>_vena_CapSCUSAunadjusted_B1_R_6_266748583985152000</vt:lpstr>
      <vt:lpstr>_vena_CapSCUSAunadjusted_B1_R_6_266756787259179008</vt:lpstr>
      <vt:lpstr>_vena_CapSCUSAunadjusted_B1_R_9_273913475468623872</vt:lpstr>
      <vt:lpstr>_vena_CapSCUSAunadjusted_B1_R_9_273913475468623872_1</vt:lpstr>
      <vt:lpstr>_vena_CapSCUSAunadjusted_B1_R_9_273913475468623872_10</vt:lpstr>
      <vt:lpstr>_vena_CapSCUSAunadjusted_B1_R_9_273913475468623872_11</vt:lpstr>
      <vt:lpstr>_vena_CapSCUSAunadjusted_B1_R_9_273913475468623872_12</vt:lpstr>
      <vt:lpstr>_vena_CapSCUSAunadjusted_B1_R_9_273913475468623872_13</vt:lpstr>
      <vt:lpstr>_vena_CapSCUSAunadjusted_B1_R_9_273913475468623872_14</vt:lpstr>
      <vt:lpstr>_vena_CapSCUSAunadjusted_B1_R_9_273913475468623872_15</vt:lpstr>
      <vt:lpstr>_vena_CapSCUSAunadjusted_B1_R_9_273913475468623872_16</vt:lpstr>
      <vt:lpstr>_vena_CapSCUSAunadjusted_B1_R_9_273913475468623872_2</vt:lpstr>
      <vt:lpstr>_vena_CapSCUSAunadjusted_B1_R_9_273913475468623872_3</vt:lpstr>
      <vt:lpstr>_vena_CapSCUSAunadjusted_B1_R_9_273913475468623872_4</vt:lpstr>
      <vt:lpstr>_vena_CapSCUSAunadjusted_B1_R_9_273913475468623872_5</vt:lpstr>
      <vt:lpstr>_vena_CapSCUSAunadjusted_B1_R_9_273913475468623872_6</vt:lpstr>
      <vt:lpstr>_vena_CapSCUSAunadjusted_B1_R_9_273913475468623872_7</vt:lpstr>
      <vt:lpstr>_vena_CapSCUSAunadjusted_B1_R_9_273913475468623872_8</vt:lpstr>
      <vt:lpstr>_vena_CapSCUSAunadjusted_B1_R_9_273913475468623872_9</vt:lpstr>
      <vt:lpstr>_vena_CapSCUSAunadjusted_B2_C_1_230858509795983360</vt:lpstr>
      <vt:lpstr>_vena_CapSCUSAunadjusted_B2_C_1_230858525113581568</vt:lpstr>
      <vt:lpstr>_vena_CapSCUSAunadjusted_B2_C_1_230858539172888576</vt:lpstr>
      <vt:lpstr>_vena_CapSCUSAunadjusted_B2_C_1_230858563583737856</vt:lpstr>
      <vt:lpstr>_vena_CapSCUSAunadjusted_B2_C_1_230858841607110656</vt:lpstr>
      <vt:lpstr>_vena_CapSCUSAunadjusted_B2_C_1_230858841607110656_1</vt:lpstr>
      <vt:lpstr>_vena_CapSCUSAunadjusted_B2_C_1_230858841607110656_2</vt:lpstr>
      <vt:lpstr>_vena_CapSCUSAunadjusted_B2_C_1_230858841607110656_3</vt:lpstr>
      <vt:lpstr>_vena_CapSCUSAunadjusted_B2_C_1_230858841607110656_4</vt:lpstr>
      <vt:lpstr>_vena_CapSCUSAunadjusted_B2_C_1_230858864537370624</vt:lpstr>
      <vt:lpstr>_vena_CapSCUSAunadjusted_B2_C_1_230858864537370624_1</vt:lpstr>
      <vt:lpstr>_vena_CapSCUSAunadjusted_B2_C_1_230858864537370624_2</vt:lpstr>
      <vt:lpstr>_vena_CapSCUSAunadjusted_B2_C_1_230858864537370624_3</vt:lpstr>
      <vt:lpstr>_vena_CapSCUSAunadjusted_B2_C_1_230858864537370624_4</vt:lpstr>
      <vt:lpstr>_vena_CapSCUSAunadjusted_B2_C_1_230858883713728512</vt:lpstr>
      <vt:lpstr>_vena_CapSCUSAunadjusted_B2_C_1_230858883713728512_1</vt:lpstr>
      <vt:lpstr>_vena_CapSCUSAunadjusted_B2_C_1_230858883713728512_2</vt:lpstr>
      <vt:lpstr>_vena_CapSCUSAunadjusted_B2_C_1_230858883713728512_3</vt:lpstr>
      <vt:lpstr>_vena_CapSCUSAunadjusted_B2_C_1_230858883713728512_4</vt:lpstr>
      <vt:lpstr>_vena_CapSCUSAunadjusted_B2_C_1_230858941431545856</vt:lpstr>
      <vt:lpstr>_vena_CapSCUSAunadjusted_B2_C_1_230858941431545856_1</vt:lpstr>
      <vt:lpstr>_vena_CapSCUSAunadjusted_B2_C_1_230858941431545856_2</vt:lpstr>
      <vt:lpstr>_vena_CapSCUSAunadjusted_B2_C_1_230858941431545856_3</vt:lpstr>
      <vt:lpstr>_vena_CapSCUSAunadjusted_B2_C_1_230858941431545856_4</vt:lpstr>
      <vt:lpstr>_vena_CapSCUSAunadjusted_B2_C_1_230859049971744768</vt:lpstr>
      <vt:lpstr>_vena_CapSCUSAunadjusted_B2_C_1_230859049971744768_1</vt:lpstr>
      <vt:lpstr>_vena_CapSCUSAunadjusted_B2_C_1_230859049971744768_2</vt:lpstr>
      <vt:lpstr>_vena_CapSCUSAunadjusted_B2_C_1_230859049971744768_3</vt:lpstr>
      <vt:lpstr>_vena_CapSCUSAunadjusted_B2_C_1_230859049971744768_4</vt:lpstr>
      <vt:lpstr>_vena_CapSCUSAunadjusted_B2_C_1_230859064827969536</vt:lpstr>
      <vt:lpstr>_vena_CapSCUSAunadjusted_B2_C_1_230859064827969536_1</vt:lpstr>
      <vt:lpstr>_vena_CapSCUSAunadjusted_B2_C_1_230859064827969536_2</vt:lpstr>
      <vt:lpstr>_vena_CapSCUSAunadjusted_B2_C_1_230859064827969536_3</vt:lpstr>
      <vt:lpstr>_vena_CapSCUSAunadjusted_B2_C_1_230859064827969536_4</vt:lpstr>
      <vt:lpstr>_vena_CapSCUSAunadjusted_B2_C_1_230859078451068928</vt:lpstr>
      <vt:lpstr>_vena_CapSCUSAunadjusted_B2_C_1_230859078451068928_1</vt:lpstr>
      <vt:lpstr>_vena_CapSCUSAunadjusted_B2_C_1_230859078451068928_2</vt:lpstr>
      <vt:lpstr>_vena_CapSCUSAunadjusted_B2_C_1_230859078451068928_3</vt:lpstr>
      <vt:lpstr>_vena_CapSCUSAunadjusted_B2_C_1_230859078451068928_4</vt:lpstr>
      <vt:lpstr>_vena_CapSCUSAunadjusted_B2_C_1_230859093835776000</vt:lpstr>
      <vt:lpstr>_vena_CapSCUSAunadjusted_B2_C_1_230859093835776000_1</vt:lpstr>
      <vt:lpstr>_vena_CapSCUSAunadjusted_B2_C_1_230859093835776000_2</vt:lpstr>
      <vt:lpstr>_vena_CapSCUSAunadjusted_B2_C_1_230859093835776000_3</vt:lpstr>
      <vt:lpstr>_vena_CapSCUSAunadjusted_B2_C_1_230859093835776000_4</vt:lpstr>
      <vt:lpstr>_vena_CapSCUSAunadjusted_B2_C_1_248550486083371008</vt:lpstr>
      <vt:lpstr>_vena_CapSCUSAunadjusted_B2_C_1_248550486083371008_1</vt:lpstr>
      <vt:lpstr>_vena_CapSCUSAunadjusted_B2_C_1_248550486083371008_2</vt:lpstr>
      <vt:lpstr>_vena_CapSCUSAunadjusted_B2_C_1_248550486083371008_3</vt:lpstr>
      <vt:lpstr>_vena_CapSCUSAunadjusted_B2_C_1_248550486083371008_4</vt:lpstr>
      <vt:lpstr>_vena_CapSCUSAunadjusted_B2_C_2_230860126356111360</vt:lpstr>
      <vt:lpstr>_vena_CapSCUSAunadjusted_B2_C_2_230860226616754176</vt:lpstr>
      <vt:lpstr>_vena_CapSCUSAunadjusted_B2_C_2_230860226616754176_1</vt:lpstr>
      <vt:lpstr>_vena_CapSCUSAunadjusted_B2_C_2_230860226616754176_2</vt:lpstr>
      <vt:lpstr>_vena_CapSCUSAunadjusted_B2_C_2_230860226616754176_3</vt:lpstr>
      <vt:lpstr>_vena_CapSCUSAunadjusted_B2_C_2_230860226616754176_4</vt:lpstr>
      <vt:lpstr>_vena_CapSCUSAunadjusted_B2_C_2_230860237857488896</vt:lpstr>
      <vt:lpstr>_vena_CapSCUSAunadjusted_B2_C_2_230860237857488896_1</vt:lpstr>
      <vt:lpstr>_vena_CapSCUSAunadjusted_B2_C_2_230860237857488896_2</vt:lpstr>
      <vt:lpstr>_vena_CapSCUSAunadjusted_B2_C_2_230860237857488896_3</vt:lpstr>
      <vt:lpstr>_vena_CapSCUSAunadjusted_B2_C_2_230860237857488896_4</vt:lpstr>
      <vt:lpstr>_vena_CapSCUSAunadjusted_B2_C_2_230860246497755136</vt:lpstr>
      <vt:lpstr>_vena_CapSCUSAunadjusted_B2_C_2_230860246497755136_1</vt:lpstr>
      <vt:lpstr>_vena_CapSCUSAunadjusted_B2_C_2_230860246497755136_2</vt:lpstr>
      <vt:lpstr>_vena_CapSCUSAunadjusted_B2_C_2_230860246497755136_3</vt:lpstr>
      <vt:lpstr>_vena_CapSCUSAunadjusted_B2_C_2_230860246497755136_4</vt:lpstr>
      <vt:lpstr>_vena_CapSCUSAunadjusted_B2_C_2_230860256148848640</vt:lpstr>
      <vt:lpstr>_vena_CapSCUSAunadjusted_B2_C_2_230860256148848640_1</vt:lpstr>
      <vt:lpstr>_vena_CapSCUSAunadjusted_B2_C_2_230860256148848640_2</vt:lpstr>
      <vt:lpstr>_vena_CapSCUSAunadjusted_B2_C_2_230860256148848640_3</vt:lpstr>
      <vt:lpstr>_vena_CapSCUSAunadjusted_B2_C_2_230860256148848640_4</vt:lpstr>
      <vt:lpstr>_vena_CapSCUSAunadjusted_B2_C_2_230860293570428928</vt:lpstr>
      <vt:lpstr>_vena_CapSCUSAunadjusted_B2_C_2_230860293570428928_1</vt:lpstr>
      <vt:lpstr>_vena_CapSCUSAunadjusted_B2_C_2_230860293570428928_2</vt:lpstr>
      <vt:lpstr>_vena_CapSCUSAunadjusted_B2_C_2_230860293570428928_3</vt:lpstr>
      <vt:lpstr>_vena_CapSCUSAunadjusted_B2_C_2_230860293570428928_4</vt:lpstr>
      <vt:lpstr>_vena_CapSCUSAunadjusted_B2_C_2_230860306308530176</vt:lpstr>
      <vt:lpstr>_vena_CapSCUSAunadjusted_B2_C_2_230860306308530176_1</vt:lpstr>
      <vt:lpstr>_vena_CapSCUSAunadjusted_B2_C_2_230860306308530176_2</vt:lpstr>
      <vt:lpstr>_vena_CapSCUSAunadjusted_B2_C_2_230860306308530176_3</vt:lpstr>
      <vt:lpstr>_vena_CapSCUSAunadjusted_B2_C_2_230860306308530176_4</vt:lpstr>
      <vt:lpstr>_vena_CapSCUSAunadjusted_B2_C_2_230860320749518848</vt:lpstr>
      <vt:lpstr>_vena_CapSCUSAunadjusted_B2_C_2_230860320749518848_1</vt:lpstr>
      <vt:lpstr>_vena_CapSCUSAunadjusted_B2_C_2_230860320749518848_2</vt:lpstr>
      <vt:lpstr>_vena_CapSCUSAunadjusted_B2_C_2_230860320749518848_3</vt:lpstr>
      <vt:lpstr>_vena_CapSCUSAunadjusted_B2_C_2_230860320749518848_4</vt:lpstr>
      <vt:lpstr>_vena_CapSCUSAunadjusted_B2_C_2_230860332363546624</vt:lpstr>
      <vt:lpstr>_vena_CapSCUSAunadjusted_B2_C_2_230860332363546624_1</vt:lpstr>
      <vt:lpstr>_vena_CapSCUSAunadjusted_B2_C_2_230860332363546624_2</vt:lpstr>
      <vt:lpstr>_vena_CapSCUSAunadjusted_B2_C_2_230860332363546624_3</vt:lpstr>
      <vt:lpstr>_vena_CapSCUSAunadjusted_B2_C_2_230860332363546624_4</vt:lpstr>
      <vt:lpstr>_vena_CapSCUSAunadjusted_B2_C_2_230860342882861056</vt:lpstr>
      <vt:lpstr>_vena_CapSCUSAunadjusted_B2_C_2_230860342882861056_1</vt:lpstr>
      <vt:lpstr>_vena_CapSCUSAunadjusted_B2_C_2_230860342882861056_2</vt:lpstr>
      <vt:lpstr>_vena_CapSCUSAunadjusted_B2_C_2_230860342882861056_3</vt:lpstr>
      <vt:lpstr>_vena_CapSCUSAunadjusted_B2_C_2_230860342882861056_4</vt:lpstr>
      <vt:lpstr>_vena_CapSCUSAunadjusted_B2_C_2_248614950019268608</vt:lpstr>
      <vt:lpstr>_vena_CapSCUSAunadjusted_B2_C_2_248614950019268608_1</vt:lpstr>
      <vt:lpstr>_vena_CapSCUSAunadjusted_B2_C_2_248614950019268608_2</vt:lpstr>
      <vt:lpstr>_vena_CapSCUSAunadjusted_B2_C_3_230860830692999168</vt:lpstr>
      <vt:lpstr>_vena_CapSCUSAunadjusted_B2_C_3_230860830692999168_1</vt:lpstr>
      <vt:lpstr>_vena_CapSCUSAunadjusted_B2_C_3_230860830692999168_10</vt:lpstr>
      <vt:lpstr>_vena_CapSCUSAunadjusted_B2_C_3_230860830692999168_11</vt:lpstr>
      <vt:lpstr>_vena_CapSCUSAunadjusted_B2_C_3_230860830692999168_12</vt:lpstr>
      <vt:lpstr>_vena_CapSCUSAunadjusted_B2_C_3_230860830692999168_13</vt:lpstr>
      <vt:lpstr>_vena_CapSCUSAunadjusted_B2_C_3_230860830692999168_14</vt:lpstr>
      <vt:lpstr>_vena_CapSCUSAunadjusted_B2_C_3_230860830692999168_15</vt:lpstr>
      <vt:lpstr>_vena_CapSCUSAunadjusted_B2_C_3_230860830692999168_16</vt:lpstr>
      <vt:lpstr>_vena_CapSCUSAunadjusted_B2_C_3_230860830692999168_17</vt:lpstr>
      <vt:lpstr>_vena_CapSCUSAunadjusted_B2_C_3_230860830692999168_18</vt:lpstr>
      <vt:lpstr>_vena_CapSCUSAunadjusted_B2_C_3_230860830692999168_19</vt:lpstr>
      <vt:lpstr>_vena_CapSCUSAunadjusted_B2_C_3_230860830692999168_2</vt:lpstr>
      <vt:lpstr>_vena_CapSCUSAunadjusted_B2_C_3_230860830692999168_20</vt:lpstr>
      <vt:lpstr>_vena_CapSCUSAunadjusted_B2_C_3_230860830692999168_21</vt:lpstr>
      <vt:lpstr>_vena_CapSCUSAunadjusted_B2_C_3_230860830692999168_22</vt:lpstr>
      <vt:lpstr>_vena_CapSCUSAunadjusted_B2_C_3_230860830692999168_23</vt:lpstr>
      <vt:lpstr>_vena_CapSCUSAunadjusted_B2_C_3_230860830692999168_24</vt:lpstr>
      <vt:lpstr>_vena_CapSCUSAunadjusted_B2_C_3_230860830692999168_25</vt:lpstr>
      <vt:lpstr>_vena_CapSCUSAunadjusted_B2_C_3_230860830692999168_26</vt:lpstr>
      <vt:lpstr>_vena_CapSCUSAunadjusted_B2_C_3_230860830692999168_27</vt:lpstr>
      <vt:lpstr>_vena_CapSCUSAunadjusted_B2_C_3_230860830692999168_28</vt:lpstr>
      <vt:lpstr>_vena_CapSCUSAunadjusted_B2_C_3_230860830692999168_29</vt:lpstr>
      <vt:lpstr>_vena_CapSCUSAunadjusted_B2_C_3_230860830692999168_3</vt:lpstr>
      <vt:lpstr>_vena_CapSCUSAunadjusted_B2_C_3_230860830692999168_30</vt:lpstr>
      <vt:lpstr>_vena_CapSCUSAunadjusted_B2_C_3_230860830692999168_31</vt:lpstr>
      <vt:lpstr>_vena_CapSCUSAunadjusted_B2_C_3_230860830692999168_32</vt:lpstr>
      <vt:lpstr>_vena_CapSCUSAunadjusted_B2_C_3_230860830692999168_33</vt:lpstr>
      <vt:lpstr>_vena_CapSCUSAunadjusted_B2_C_3_230860830692999168_34</vt:lpstr>
      <vt:lpstr>_vena_CapSCUSAunadjusted_B2_C_3_230860830692999168_35</vt:lpstr>
      <vt:lpstr>_vena_CapSCUSAunadjusted_B2_C_3_230860830692999168_36</vt:lpstr>
      <vt:lpstr>_vena_CapSCUSAunadjusted_B2_C_3_230860830692999168_37</vt:lpstr>
      <vt:lpstr>_vena_CapSCUSAunadjusted_B2_C_3_230860830692999168_38</vt:lpstr>
      <vt:lpstr>_vena_CapSCUSAunadjusted_B2_C_3_230860830692999168_39</vt:lpstr>
      <vt:lpstr>_vena_CapSCUSAunadjusted_B2_C_3_230860830692999168_4</vt:lpstr>
      <vt:lpstr>_vena_CapSCUSAunadjusted_B2_C_3_230860830692999168_40</vt:lpstr>
      <vt:lpstr>_vena_CapSCUSAunadjusted_B2_C_3_230860830692999168_41</vt:lpstr>
      <vt:lpstr>_vena_CapSCUSAunadjusted_B2_C_3_230860830692999168_42</vt:lpstr>
      <vt:lpstr>_vena_CapSCUSAunadjusted_B2_C_3_230860830692999168_43</vt:lpstr>
      <vt:lpstr>_vena_CapSCUSAunadjusted_B2_C_3_230860830692999168_44</vt:lpstr>
      <vt:lpstr>_vena_CapSCUSAunadjusted_B2_C_3_230860830692999168_45</vt:lpstr>
      <vt:lpstr>_vena_CapSCUSAunadjusted_B2_C_3_230860830692999168_5</vt:lpstr>
      <vt:lpstr>_vena_CapSCUSAunadjusted_B2_C_3_230860830692999168_6</vt:lpstr>
      <vt:lpstr>_vena_CapSCUSAunadjusted_B2_C_3_230860830692999168_7</vt:lpstr>
      <vt:lpstr>_vena_CapSCUSAunadjusted_B2_C_3_230860830692999168_8</vt:lpstr>
      <vt:lpstr>_vena_CapSCUSAunadjusted_B2_C_3_230860830692999168_9</vt:lpstr>
      <vt:lpstr>_vena_CapSCUSAunadjusted_B2_C_3_230860959693012992</vt:lpstr>
      <vt:lpstr>_vena_CapSCUSAunadjusted_B2_C_3_230860959693012992_1</vt:lpstr>
      <vt:lpstr>_vena_CapSCUSAunadjusted_B2_C_3_230860959693012992_2</vt:lpstr>
      <vt:lpstr>_vena_CapSCUSAunadjusted_B2_C_4_230862887281885184</vt:lpstr>
      <vt:lpstr>_vena_CapSCUSAunadjusted_B2_C_4_230862887281885184_1</vt:lpstr>
      <vt:lpstr>_vena_CapSCUSAunadjusted_B2_C_4_230862887281885184_2</vt:lpstr>
      <vt:lpstr>_vena_CapSCUSAunadjusted_B2_C_4_230862887281885184_3</vt:lpstr>
      <vt:lpstr>_vena_CapSCUSAunadjusted_B2_C_4_230862887281885184_4</vt:lpstr>
      <vt:lpstr>_vena_CapSCUSAunadjusted_B2_C_4_230862887281885184_5</vt:lpstr>
      <vt:lpstr>_vena_CapSCUSAunadjusted_B2_C_4_230862887281885184_6</vt:lpstr>
      <vt:lpstr>_vena_CapSCUSAunadjusted_B2_C_4_230862887281885184_7</vt:lpstr>
      <vt:lpstr>_vena_CapSCUSAunadjusted_B2_C_4_230862887281885184_8</vt:lpstr>
      <vt:lpstr>_vena_CapSCUSAunadjusted_B2_C_4_230862937282183168</vt:lpstr>
      <vt:lpstr>_vena_CapSCUSAunadjusted_B2_C_4_230862937282183168_1</vt:lpstr>
      <vt:lpstr>_vena_CapSCUSAunadjusted_B2_C_4_230862937282183168_2</vt:lpstr>
      <vt:lpstr>_vena_CapSCUSAunadjusted_B2_C_4_230862937282183168_3</vt:lpstr>
      <vt:lpstr>_vena_CapSCUSAunadjusted_B2_C_4_230862937282183168_4</vt:lpstr>
      <vt:lpstr>_vena_CapSCUSAunadjusted_B2_C_4_230862937282183168_5</vt:lpstr>
      <vt:lpstr>_vena_CapSCUSAunadjusted_B2_C_4_230862937282183168_6</vt:lpstr>
      <vt:lpstr>_vena_CapSCUSAunadjusted_B2_C_4_230862937282183168_7</vt:lpstr>
      <vt:lpstr>_vena_CapSCUSAunadjusted_B2_C_4_230862937282183168_8</vt:lpstr>
      <vt:lpstr>_vena_CapSCUSAunadjusted_B2_C_4_230862963278479360</vt:lpstr>
      <vt:lpstr>_vena_CapSCUSAunadjusted_B2_C_4_230862963278479360_1</vt:lpstr>
      <vt:lpstr>_vena_CapSCUSAunadjusted_B2_C_4_230862963278479360_2</vt:lpstr>
      <vt:lpstr>_vena_CapSCUSAunadjusted_B2_C_4_230862963278479360_3</vt:lpstr>
      <vt:lpstr>_vena_CapSCUSAunadjusted_B2_C_4_230862963278479360_4</vt:lpstr>
      <vt:lpstr>_vena_CapSCUSAunadjusted_B2_C_4_230862963278479360_5</vt:lpstr>
      <vt:lpstr>_vena_CapSCUSAunadjusted_B2_C_4_230862963278479360_6</vt:lpstr>
      <vt:lpstr>_vena_CapSCUSAunadjusted_B2_C_4_230862963278479360_7</vt:lpstr>
      <vt:lpstr>_vena_CapSCUSAunadjusted_B2_C_4_230862963278479360_8</vt:lpstr>
      <vt:lpstr>_vena_CapSCUSAunadjusted_B2_C_4_230863001366953984</vt:lpstr>
      <vt:lpstr>_vena_CapSCUSAunadjusted_B2_C_4_230863001366953984_1</vt:lpstr>
      <vt:lpstr>_vena_CapSCUSAunadjusted_B2_C_4_230863001366953984_2</vt:lpstr>
      <vt:lpstr>_vena_CapSCUSAunadjusted_B2_C_4_230863001366953984_3</vt:lpstr>
      <vt:lpstr>_vena_CapSCUSAunadjusted_B2_C_4_230863001366953984_4</vt:lpstr>
      <vt:lpstr>_vena_CapSCUSAunadjusted_B2_C_4_230863001366953984_5</vt:lpstr>
      <vt:lpstr>_vena_CapSCUSAunadjusted_B2_C_4_230863001366953984_6</vt:lpstr>
      <vt:lpstr>_vena_CapSCUSAunadjusted_B2_C_4_230863001366953984_7</vt:lpstr>
      <vt:lpstr>_vena_CapSCUSAunadjusted_B2_C_4_230863001366953984_8</vt:lpstr>
      <vt:lpstr>_vena_CapSCUSAunadjusted_B2_C_4_230863046111789056</vt:lpstr>
      <vt:lpstr>_vena_CapSCUSAunadjusted_B2_C_4_230863046111789056_1</vt:lpstr>
      <vt:lpstr>_vena_CapSCUSAunadjusted_B2_C_4_230863046111789056_2</vt:lpstr>
      <vt:lpstr>_vena_CapSCUSAunadjusted_B2_C_4_230863046111789056_3</vt:lpstr>
      <vt:lpstr>_vena_CapSCUSAunadjusted_B2_C_4_230863046111789056_4</vt:lpstr>
      <vt:lpstr>_vena_CapSCUSAunadjusted_B2_C_4_230863046111789056_5</vt:lpstr>
      <vt:lpstr>_vena_CapSCUSAunadjusted_B2_C_4_230863046111789056_6</vt:lpstr>
      <vt:lpstr>_vena_CapSCUSAunadjusted_B2_C_4_230863046111789056_7</vt:lpstr>
      <vt:lpstr>_vena_CapSCUSAunadjusted_B2_C_4_230863046111789056_8</vt:lpstr>
      <vt:lpstr>_vena_CapSCUSAunadjusted_B2_C_4_230863071093063680</vt:lpstr>
      <vt:lpstr>_vena_CapSCUSAunadjusted_B2_C_4_230863071093063680_1</vt:lpstr>
      <vt:lpstr>_vena_CapSCUSAunadjusted_B2_C_4_230863071093063680_2</vt:lpstr>
      <vt:lpstr>_vena_CapSCUSAunadjusted_B2_C_4_230863071093063680_3</vt:lpstr>
      <vt:lpstr>_vena_CapSCUSAunadjusted_B2_C_FV_6053e8fe227041fcbe8015c4f16779fe</vt:lpstr>
      <vt:lpstr>_vena_CapSCUSAunadjusted_B2_C_FV_6053e8fe227041fcbe8015c4f16779fe_1</vt:lpstr>
      <vt:lpstr>_vena_CapSCUSAunadjusted_B2_C_FV_6053e8fe227041fcbe8015c4f16779fe_10</vt:lpstr>
      <vt:lpstr>_vena_CapSCUSAunadjusted_B2_C_FV_6053e8fe227041fcbe8015c4f16779fe_11</vt:lpstr>
      <vt:lpstr>_vena_CapSCUSAunadjusted_B2_C_FV_6053e8fe227041fcbe8015c4f16779fe_12</vt:lpstr>
      <vt:lpstr>_vena_CapSCUSAunadjusted_B2_C_FV_6053e8fe227041fcbe8015c4f16779fe_13</vt:lpstr>
      <vt:lpstr>_vena_CapSCUSAunadjusted_B2_C_FV_6053e8fe227041fcbe8015c4f16779fe_14</vt:lpstr>
      <vt:lpstr>_vena_CapSCUSAunadjusted_B2_C_FV_6053e8fe227041fcbe8015c4f16779fe_15</vt:lpstr>
      <vt:lpstr>_vena_CapSCUSAunadjusted_B2_C_FV_6053e8fe227041fcbe8015c4f16779fe_16</vt:lpstr>
      <vt:lpstr>_vena_CapSCUSAunadjusted_B2_C_FV_6053e8fe227041fcbe8015c4f16779fe_17</vt:lpstr>
      <vt:lpstr>_vena_CapSCUSAunadjusted_B2_C_FV_6053e8fe227041fcbe8015c4f16779fe_18</vt:lpstr>
      <vt:lpstr>_vena_CapSCUSAunadjusted_B2_C_FV_6053e8fe227041fcbe8015c4f16779fe_19</vt:lpstr>
      <vt:lpstr>_vena_CapSCUSAunadjusted_B2_C_FV_6053e8fe227041fcbe8015c4f16779fe_2</vt:lpstr>
      <vt:lpstr>_vena_CapSCUSAunadjusted_B2_C_FV_6053e8fe227041fcbe8015c4f16779fe_20</vt:lpstr>
      <vt:lpstr>_vena_CapSCUSAunadjusted_B2_C_FV_6053e8fe227041fcbe8015c4f16779fe_21</vt:lpstr>
      <vt:lpstr>_vena_CapSCUSAunadjusted_B2_C_FV_6053e8fe227041fcbe8015c4f16779fe_22</vt:lpstr>
      <vt:lpstr>_vena_CapSCUSAunadjusted_B2_C_FV_6053e8fe227041fcbe8015c4f16779fe_23</vt:lpstr>
      <vt:lpstr>_vena_CapSCUSAunadjusted_B2_C_FV_6053e8fe227041fcbe8015c4f16779fe_24</vt:lpstr>
      <vt:lpstr>_vena_CapSCUSAunadjusted_B2_C_FV_6053e8fe227041fcbe8015c4f16779fe_25</vt:lpstr>
      <vt:lpstr>_vena_CapSCUSAunadjusted_B2_C_FV_6053e8fe227041fcbe8015c4f16779fe_26</vt:lpstr>
      <vt:lpstr>_vena_CapSCUSAunadjusted_B2_C_FV_6053e8fe227041fcbe8015c4f16779fe_27</vt:lpstr>
      <vt:lpstr>_vena_CapSCUSAunadjusted_B2_C_FV_6053e8fe227041fcbe8015c4f16779fe_28</vt:lpstr>
      <vt:lpstr>_vena_CapSCUSAunadjusted_B2_C_FV_6053e8fe227041fcbe8015c4f16779fe_29</vt:lpstr>
      <vt:lpstr>_vena_CapSCUSAunadjusted_B2_C_FV_6053e8fe227041fcbe8015c4f16779fe_3</vt:lpstr>
      <vt:lpstr>_vena_CapSCUSAunadjusted_B2_C_FV_6053e8fe227041fcbe8015c4f16779fe_30</vt:lpstr>
      <vt:lpstr>_vena_CapSCUSAunadjusted_B2_C_FV_6053e8fe227041fcbe8015c4f16779fe_31</vt:lpstr>
      <vt:lpstr>_vena_CapSCUSAunadjusted_B2_C_FV_6053e8fe227041fcbe8015c4f16779fe_32</vt:lpstr>
      <vt:lpstr>_vena_CapSCUSAunadjusted_B2_C_FV_6053e8fe227041fcbe8015c4f16779fe_33</vt:lpstr>
      <vt:lpstr>_vena_CapSCUSAunadjusted_B2_C_FV_6053e8fe227041fcbe8015c4f16779fe_34</vt:lpstr>
      <vt:lpstr>_vena_CapSCUSAunadjusted_B2_C_FV_6053e8fe227041fcbe8015c4f16779fe_35</vt:lpstr>
      <vt:lpstr>_vena_CapSCUSAunadjusted_B2_C_FV_6053e8fe227041fcbe8015c4f16779fe_36</vt:lpstr>
      <vt:lpstr>_vena_CapSCUSAunadjusted_B2_C_FV_6053e8fe227041fcbe8015c4f16779fe_37</vt:lpstr>
      <vt:lpstr>_vena_CapSCUSAunadjusted_B2_C_FV_6053e8fe227041fcbe8015c4f16779fe_38</vt:lpstr>
      <vt:lpstr>_vena_CapSCUSAunadjusted_B2_C_FV_6053e8fe227041fcbe8015c4f16779fe_39</vt:lpstr>
      <vt:lpstr>_vena_CapSCUSAunadjusted_B2_C_FV_6053e8fe227041fcbe8015c4f16779fe_4</vt:lpstr>
      <vt:lpstr>_vena_CapSCUSAunadjusted_B2_C_FV_6053e8fe227041fcbe8015c4f16779fe_40</vt:lpstr>
      <vt:lpstr>_vena_CapSCUSAunadjusted_B2_C_FV_6053e8fe227041fcbe8015c4f16779fe_41</vt:lpstr>
      <vt:lpstr>_vena_CapSCUSAunadjusted_B2_C_FV_6053e8fe227041fcbe8015c4f16779fe_42</vt:lpstr>
      <vt:lpstr>_vena_CapSCUSAunadjusted_B2_C_FV_6053e8fe227041fcbe8015c4f16779fe_43</vt:lpstr>
      <vt:lpstr>_vena_CapSCUSAunadjusted_B2_C_FV_6053e8fe227041fcbe8015c4f16779fe_44</vt:lpstr>
      <vt:lpstr>_vena_CapSCUSAunadjusted_B2_C_FV_6053e8fe227041fcbe8015c4f16779fe_45</vt:lpstr>
      <vt:lpstr>_vena_CapSCUSAunadjusted_B2_C_FV_6053e8fe227041fcbe8015c4f16779fe_46</vt:lpstr>
      <vt:lpstr>_vena_CapSCUSAunadjusted_B2_C_FV_6053e8fe227041fcbe8015c4f16779fe_47</vt:lpstr>
      <vt:lpstr>_vena_CapSCUSAunadjusted_B2_C_FV_6053e8fe227041fcbe8015c4f16779fe_48</vt:lpstr>
      <vt:lpstr>_vena_CapSCUSAunadjusted_B2_C_FV_6053e8fe227041fcbe8015c4f16779fe_5</vt:lpstr>
      <vt:lpstr>_vena_CapSCUSAunadjusted_B2_C_FV_6053e8fe227041fcbe8015c4f16779fe_6</vt:lpstr>
      <vt:lpstr>_vena_CapSCUSAunadjusted_B2_C_FV_6053e8fe227041fcbe8015c4f16779fe_7</vt:lpstr>
      <vt:lpstr>_vena_CapSCUSAunadjusted_B2_C_FV_6053e8fe227041fcbe8015c4f16779fe_8</vt:lpstr>
      <vt:lpstr>_vena_CapSCUSAunadjusted_B2_C_FV_6053e8fe227041fcbe8015c4f16779fe_9</vt:lpstr>
      <vt:lpstr>_vena_CapSCUSAunadjusted_B2_R_6_248210771212894209</vt:lpstr>
      <vt:lpstr>_vena_CapSCUSAunadjusted_B2_R_6_248210771221282817</vt:lpstr>
      <vt:lpstr>_vena_CapSCUSAunadjusted_B2_R_6_248210771225477121</vt:lpstr>
      <vt:lpstr>_vena_CapSCUSAunadjusted_B2_R_6_248210771229671425</vt:lpstr>
      <vt:lpstr>_vena_CapSCUSAunadjusted_B2_R_6_248210771242254337</vt:lpstr>
      <vt:lpstr>_vena_CapSCUSAunadjusted_B2_R_6_248210771246448641</vt:lpstr>
      <vt:lpstr>_vena_CapSCUSAunadjusted_B2_R_6_248210771250642945</vt:lpstr>
      <vt:lpstr>_vena_CapSCUSAunadjusted_B2_R_6_248210771254837249</vt:lpstr>
      <vt:lpstr>_vena_CapSCUSAunadjusted_B2_R_6_248210771259031553</vt:lpstr>
      <vt:lpstr>_vena_CapSCUSAunadjusted_B2_R_6_248210771267420161</vt:lpstr>
      <vt:lpstr>_vena_CapSCUSAunadjusted_B2_R_6_248210771271614465</vt:lpstr>
      <vt:lpstr>_vena_CapSCUSAunadjusted_B2_R_6_248210771275808769</vt:lpstr>
      <vt:lpstr>_vena_CapSCUSAunadjusted_B2_R_6_248210771280003073</vt:lpstr>
      <vt:lpstr>_vena_CapSCUSAunadjusted_B2_R_6_248210771288391681</vt:lpstr>
      <vt:lpstr>_vena_CapSCUSAunadjusted_B2_R_6_248210771292585985</vt:lpstr>
      <vt:lpstr>_vena_CapSCUSAunadjusted_B2_R_6_248210771296780289</vt:lpstr>
      <vt:lpstr>_vena_CapSCUSAunadjusted_B2_R_6_248210771305168897</vt:lpstr>
      <vt:lpstr>_vena_CapSCUSAunadjusted_B2_R_6_248210771305168897_1</vt:lpstr>
      <vt:lpstr>_vena_CapSCUSAunadjusted_B2_R_6_248210771313557505</vt:lpstr>
      <vt:lpstr>_vena_CapSCUSAunadjusted_B2_R_6_248210771313557505_1</vt:lpstr>
      <vt:lpstr>_vena_CapSCUSAunadjusted_B2_R_6_248210771317751809</vt:lpstr>
      <vt:lpstr>_vena_CapSCUSAunadjusted_B2_R_6_248210771317751809_1</vt:lpstr>
      <vt:lpstr>_vena_CapSCUSAunadjusted_B2_R_6_248210771321946113</vt:lpstr>
      <vt:lpstr>_vena_CapSCUSAunadjusted_B2_R_6_248210771326140417</vt:lpstr>
      <vt:lpstr>_vena_CapSCUSAunadjusted_B2_R_6_248210771342917633</vt:lpstr>
      <vt:lpstr>_vena_CapSCUSAunadjusted_B2_R_6_248210771347111937</vt:lpstr>
      <vt:lpstr>_vena_CapSCUSAunadjusted_B2_R_6_248210771351306241</vt:lpstr>
      <vt:lpstr>_vena_CapSCUSAunadjusted_B2_R_6_248210771363889153</vt:lpstr>
      <vt:lpstr>_vena_CapSCUSAunadjusted_B2_R_6_248210771376472065</vt:lpstr>
      <vt:lpstr>_vena_CapSCUSAunadjusted_B2_R_6_248210771380666369</vt:lpstr>
      <vt:lpstr>_vena_CapSCUSAunadjusted_B2_R_6_248210771389054977</vt:lpstr>
      <vt:lpstr>_vena_CapSCUSAunadjusted_B2_R_6_248210771393249281</vt:lpstr>
      <vt:lpstr>_vena_CapSCUSAunadjusted_B2_R_6_248210771401637889</vt:lpstr>
      <vt:lpstr>_vena_CapSCUSAunadjusted_B2_R_6_248210771418415105</vt:lpstr>
      <vt:lpstr>_vena_CapSCUSAunadjusted_B2_R_6_248210771439386625</vt:lpstr>
      <vt:lpstr>_vena_CapSCUSAunadjusted_B2_R_6_248210771443580929</vt:lpstr>
      <vt:lpstr>_vena_CapSCUSAunadjusted_B2_R_6_248210771447775233</vt:lpstr>
      <vt:lpstr>_vena_CapSCUSAunadjusted_B2_R_6_248210771451969537</vt:lpstr>
      <vt:lpstr>_vena_CapSCUSAunadjusted_B2_R_6_248210771456163841</vt:lpstr>
      <vt:lpstr>_vena_CapSCUSAunadjusted_B2_R_6_248210771456163841_1</vt:lpstr>
      <vt:lpstr>_vena_CapSCUSAunadjusted_B2_R_6_248210771456163841_2</vt:lpstr>
      <vt:lpstr>_vena_CapSCUSAunadjusted_B2_R_6_248210771464552449</vt:lpstr>
      <vt:lpstr>_vena_CapSCUSAunadjusted_B2_R_6_248210771468746753</vt:lpstr>
      <vt:lpstr>_vena_CapSCUSAunadjusted_B2_R_6_248210771472941057</vt:lpstr>
      <vt:lpstr>_vena_CapSCUSAunadjusted_B2_R_6_248210771477135361</vt:lpstr>
      <vt:lpstr>_vena_CapSCUSAunadjusted_B2_R_6_248210771485523969</vt:lpstr>
      <vt:lpstr>_vena_CapSCUSAunadjusted_B2_R_6_248210771489718273</vt:lpstr>
      <vt:lpstr>_vena_CapSCUSAunadjusted_B2_R_6_248210771493912577</vt:lpstr>
      <vt:lpstr>_vena_CapSCUSAunadjusted_B2_R_6_248210771498106881</vt:lpstr>
      <vt:lpstr>_vena_CapSCUSAunadjusted_B2_R_6_248210771506495488</vt:lpstr>
      <vt:lpstr>_vena_CapSCUSAunadjusted_B2_R_6_248210771510689793</vt:lpstr>
      <vt:lpstr>_vena_CapSCUSAunadjusted_B2_R_6_248210771514884097</vt:lpstr>
      <vt:lpstr>_vena_CapSCUSAunadjusted_B2_R_6_248210771535855617</vt:lpstr>
      <vt:lpstr>_vena_CapSCUSAunadjusted_B2_R_6_248210771540049921</vt:lpstr>
      <vt:lpstr>_vena_CapSCUSAunadjusted_B2_R_6_248210771544244225</vt:lpstr>
      <vt:lpstr>_vena_CapSCUSAunadjusted_B2_R_6_248210771556827137</vt:lpstr>
      <vt:lpstr>_vena_CapSCUSAunadjusted_B2_R_6_248210771561021441</vt:lpstr>
      <vt:lpstr>_vena_CapSCUSAunadjusted_B2_R_6_248210771565215745</vt:lpstr>
      <vt:lpstr>_vena_CapSCUSAunadjusted_B2_R_6_248210771573604352</vt:lpstr>
      <vt:lpstr>_vena_CapSCUSAunadjusted_B2_R_6_248210771577798657</vt:lpstr>
      <vt:lpstr>_vena_CapSCUSAunadjusted_B2_R_6_248210771581992961</vt:lpstr>
      <vt:lpstr>_vena_CapSCUSAunadjusted_B2_R_6_248210771586187265</vt:lpstr>
      <vt:lpstr>_vena_CapSCUSAunadjusted_B2_R_6_266768037674614784</vt:lpstr>
      <vt:lpstr>_vena_CapSCUSAunadjusted_B2_R_6_266768037674614784_1</vt:lpstr>
      <vt:lpstr>_vena_CapSCUSAunadjusted_B2_R_6_266769003396595712</vt:lpstr>
      <vt:lpstr>_vena_CapSCUSAunadjusted_B2_R_6_266769003396595712_1</vt:lpstr>
      <vt:lpstr>_vena_CapSCUSAunadjusted_B2_R_6_266769057523564544</vt:lpstr>
      <vt:lpstr>_vena_CapSCUSAunadjusted_B2_R_6_266769210523648000</vt:lpstr>
      <vt:lpstr>_vena_CapSCUSAunadjusted_B2_R_6_266769210523648000_1</vt:lpstr>
      <vt:lpstr>_vena_CapSCUSAunadjusted_B2_R_6_266769240000954368</vt:lpstr>
      <vt:lpstr>_vena_CapSCUSAunadjusted_B2_R_6_266769480632893440</vt:lpstr>
      <vt:lpstr>_vena_CapSCUSAunadjusted_B2_R_6_266769761273774080</vt:lpstr>
      <vt:lpstr>_vena_CapSCUSAunadjusted_B2_R_6_266771225748307976</vt:lpstr>
      <vt:lpstr>_vena_CapSCUSAunadjusted_B2_R_6_266776294786727936</vt:lpstr>
      <vt:lpstr>_vena_CapSCUSAunadjusted_B2_R_6_266777560057774080</vt:lpstr>
      <vt:lpstr>_vena_CapSCUSAunadjusted_B2_R_6_266782491321827328</vt:lpstr>
      <vt:lpstr>_vena_CapSCUSAunadjusted_B2_R_9_273914228170817536</vt:lpstr>
      <vt:lpstr>_vena_CapSCUSAunadjusted_B2_R_9_273914228170817536_1</vt:lpstr>
      <vt:lpstr>_vena_CapSCUSAunadjusted_B2_R_9_273914228170817536_10</vt:lpstr>
      <vt:lpstr>_vena_CapSCUSAunadjusted_B2_R_9_273914228170817536_11</vt:lpstr>
      <vt:lpstr>_vena_CapSCUSAunadjusted_B2_R_9_273914228170817536_12</vt:lpstr>
      <vt:lpstr>_vena_CapSCUSAunadjusted_B2_R_9_273914228170817536_13</vt:lpstr>
      <vt:lpstr>_vena_CapSCUSAunadjusted_B2_R_9_273914228170817536_14</vt:lpstr>
      <vt:lpstr>_vena_CapSCUSAunadjusted_B2_R_9_273914228170817536_15</vt:lpstr>
      <vt:lpstr>_vena_CapSCUSAunadjusted_B2_R_9_273914228170817536_16</vt:lpstr>
      <vt:lpstr>_vena_CapSCUSAunadjusted_B2_R_9_273914228170817536_17</vt:lpstr>
      <vt:lpstr>_vena_CapSCUSAunadjusted_B2_R_9_273914228170817536_18</vt:lpstr>
      <vt:lpstr>_vena_CapSCUSAunadjusted_B2_R_9_273914228170817536_19</vt:lpstr>
      <vt:lpstr>_vena_CapSCUSAunadjusted_B2_R_9_273914228170817536_2</vt:lpstr>
      <vt:lpstr>_vena_CapSCUSAunadjusted_B2_R_9_273914228170817536_20</vt:lpstr>
      <vt:lpstr>_vena_CapSCUSAunadjusted_B2_R_9_273914228170817536_21</vt:lpstr>
      <vt:lpstr>_vena_CapSCUSAunadjusted_B2_R_9_273914228170817536_22</vt:lpstr>
      <vt:lpstr>_vena_CapSCUSAunadjusted_B2_R_9_273914228170817536_23</vt:lpstr>
      <vt:lpstr>_vena_CapSCUSAunadjusted_B2_R_9_273914228170817536_24</vt:lpstr>
      <vt:lpstr>_vena_CapSCUSAunadjusted_B2_R_9_273914228170817536_25</vt:lpstr>
      <vt:lpstr>_vena_CapSCUSAunadjusted_B2_R_9_273914228170817536_26</vt:lpstr>
      <vt:lpstr>_vena_CapSCUSAunadjusted_B2_R_9_273914228170817536_27</vt:lpstr>
      <vt:lpstr>_vena_CapSCUSAunadjusted_B2_R_9_273914228170817536_28</vt:lpstr>
      <vt:lpstr>_vena_CapSCUSAunadjusted_B2_R_9_273914228170817536_29</vt:lpstr>
      <vt:lpstr>_vena_CapSCUSAunadjusted_B2_R_9_273914228170817536_3</vt:lpstr>
      <vt:lpstr>_vena_CapSCUSAunadjusted_B2_R_9_273914228170817536_30</vt:lpstr>
      <vt:lpstr>_vena_CapSCUSAunadjusted_B2_R_9_273914228170817536_31</vt:lpstr>
      <vt:lpstr>_vena_CapSCUSAunadjusted_B2_R_9_273914228170817536_32</vt:lpstr>
      <vt:lpstr>_vena_CapSCUSAunadjusted_B2_R_9_273914228170817536_33</vt:lpstr>
      <vt:lpstr>_vena_CapSCUSAunadjusted_B2_R_9_273914228170817536_34</vt:lpstr>
      <vt:lpstr>_vena_CapSCUSAunadjusted_B2_R_9_273914228170817536_35</vt:lpstr>
      <vt:lpstr>_vena_CapSCUSAunadjusted_B2_R_9_273914228170817536_36</vt:lpstr>
      <vt:lpstr>_vena_CapSCUSAunadjusted_B2_R_9_273914228170817536_37</vt:lpstr>
      <vt:lpstr>_vena_CapSCUSAunadjusted_B2_R_9_273914228170817536_38</vt:lpstr>
      <vt:lpstr>_vena_CapSCUSAunadjusted_B2_R_9_273914228170817536_39</vt:lpstr>
      <vt:lpstr>_vena_CapSCUSAunadjusted_B2_R_9_273914228170817536_4</vt:lpstr>
      <vt:lpstr>_vena_CapSCUSAunadjusted_B2_R_9_273914228170817536_40</vt:lpstr>
      <vt:lpstr>_vena_CapSCUSAunadjusted_B2_R_9_273914228170817536_41</vt:lpstr>
      <vt:lpstr>_vena_CapSCUSAunadjusted_B2_R_9_273914228170817536_42</vt:lpstr>
      <vt:lpstr>_vena_CapSCUSAunadjusted_B2_R_9_273914228170817536_43</vt:lpstr>
      <vt:lpstr>_vena_CapSCUSAunadjusted_B2_R_9_273914228170817536_44</vt:lpstr>
      <vt:lpstr>_vena_CapSCUSAunadjusted_B2_R_9_273914228170817536_45</vt:lpstr>
      <vt:lpstr>_vena_CapSCUSAunadjusted_B2_R_9_273914228170817536_46</vt:lpstr>
      <vt:lpstr>_vena_CapSCUSAunadjusted_B2_R_9_273914228170817536_47</vt:lpstr>
      <vt:lpstr>_vena_CapSCUSAunadjusted_B2_R_9_273914228170817536_48</vt:lpstr>
      <vt:lpstr>_vena_CapSCUSAunadjusted_B2_R_9_273914228170817536_49</vt:lpstr>
      <vt:lpstr>_vena_CapSCUSAunadjusted_B2_R_9_273914228170817536_5</vt:lpstr>
      <vt:lpstr>_vena_CapSCUSAunadjusted_B2_R_9_273914228170817536_50</vt:lpstr>
      <vt:lpstr>_vena_CapSCUSAunadjusted_B2_R_9_273914228170817536_51</vt:lpstr>
      <vt:lpstr>_vena_CapSCUSAunadjusted_B2_R_9_273914228170817536_52</vt:lpstr>
      <vt:lpstr>_vena_CapSCUSAunadjusted_B2_R_9_273914228170817536_53</vt:lpstr>
      <vt:lpstr>_vena_CapSCUSAunadjusted_B2_R_9_273914228170817536_54</vt:lpstr>
      <vt:lpstr>_vena_CapSCUSAunadjusted_B2_R_9_273914228170817536_55</vt:lpstr>
      <vt:lpstr>_vena_CapSCUSAunadjusted_B2_R_9_273914228170817536_56</vt:lpstr>
      <vt:lpstr>_vena_CapSCUSAunadjusted_B2_R_9_273914228170817536_57</vt:lpstr>
      <vt:lpstr>_vena_CapSCUSAunadjusted_B2_R_9_273914228170817536_58</vt:lpstr>
      <vt:lpstr>_vena_CapSCUSAunadjusted_B2_R_9_273914228170817536_59</vt:lpstr>
      <vt:lpstr>_vena_CapSCUSAunadjusted_B2_R_9_273914228170817536_6</vt:lpstr>
      <vt:lpstr>_vena_CapSCUSAunadjusted_B2_R_9_273914228170817536_60</vt:lpstr>
      <vt:lpstr>_vena_CapSCUSAunadjusted_B2_R_9_273914228170817536_61</vt:lpstr>
      <vt:lpstr>_vena_CapSCUSAunadjusted_B2_R_9_273914228170817536_62</vt:lpstr>
      <vt:lpstr>_vena_CapSCUSAunadjusted_B2_R_9_273914228170817536_63</vt:lpstr>
      <vt:lpstr>_vena_CapSCUSAunadjusted_B2_R_9_273914228170817536_64</vt:lpstr>
      <vt:lpstr>_vena_CapSCUSAunadjusted_B2_R_9_273914228170817536_65</vt:lpstr>
      <vt:lpstr>_vena_CapSCUSAunadjusted_B2_R_9_273914228170817536_66</vt:lpstr>
      <vt:lpstr>_vena_CapSCUSAunadjusted_B2_R_9_273914228170817536_67</vt:lpstr>
      <vt:lpstr>_vena_CapSCUSAunadjusted_B2_R_9_273914228170817536_68</vt:lpstr>
      <vt:lpstr>_vena_CapSCUSAunadjusted_B2_R_9_273914228170817536_69</vt:lpstr>
      <vt:lpstr>_vena_CapSCUSAunadjusted_B2_R_9_273914228170817536_7</vt:lpstr>
      <vt:lpstr>_vena_CapSCUSAunadjusted_B2_R_9_273914228170817536_70</vt:lpstr>
      <vt:lpstr>_vena_CapSCUSAunadjusted_B2_R_9_273914228170817536_71</vt:lpstr>
      <vt:lpstr>_vena_CapSCUSAunadjusted_B2_R_9_273914228170817536_72</vt:lpstr>
      <vt:lpstr>_vena_CapSCUSAunadjusted_B2_R_9_273914228170817536_73</vt:lpstr>
      <vt:lpstr>_vena_CapSCUSAunadjusted_B2_R_9_273914228170817536_74</vt:lpstr>
      <vt:lpstr>_vena_CapSCUSAunadjusted_B2_R_9_273914228170817536_75</vt:lpstr>
      <vt:lpstr>_vena_CapSCUSAunadjusted_B2_R_9_273914228170817536_8</vt:lpstr>
      <vt:lpstr>_vena_CapSCUSAunadjusted_B2_R_9_273914228170817536_9</vt:lpstr>
      <vt:lpstr>_vena_CapSCUSAunadjusted_P_7_230871350242312192</vt:lpstr>
      <vt:lpstr>_vena_CapSCUSAunadjusted_P_8_230873481838067712</vt:lpstr>
      <vt:lpstr>_vena_UserSelectCapitalSCUSAunadjusted_P_5_245735857808605184</vt:lpstr>
      <vt:lpstr>'CCAR 9Q capital ratios'!Print_Area</vt:lpstr>
      <vt:lpstr>'Current metric'!Print_Area</vt:lpstr>
      <vt:lpstr>'New metric'!Print_Area</vt:lpstr>
      <vt:lpstr>'CCAR 9Q capital ratios'!Print_Titles</vt:lpstr>
    </vt:vector>
  </TitlesOfParts>
  <Company>Santander Consumer USA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Benjamin Fierros</dc:creator>
  <cp:lastModifiedBy>Cheng, Wanxin</cp:lastModifiedBy>
  <cp:lastPrinted>2016-04-28T15:46:57Z</cp:lastPrinted>
  <dcterms:created xsi:type="dcterms:W3CDTF">2016-04-15T15:01:09Z</dcterms:created>
  <dcterms:modified xsi:type="dcterms:W3CDTF">2016-06-03T17:24:03Z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44787D4-0540-4523-9961-78E4036D8C6D}">
    <vt:lpwstr>{F0A87AFA-6F6F-4F17-942F-FBEDCE09255C}</vt:lpwstr>
  </property>
</Properties>
</file>