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35" windowWidth="17100" windowHeight="13425"/>
  </bookViews>
  <sheets>
    <sheet name="CCAR 9Q capital ratios" sheetId="3" r:id="rId1"/>
    <sheet name="Excess net capital" sheetId="4" r:id="rId2"/>
    <sheet name="Excess Margin Coverage " sheetId="6" r:id="rId3"/>
    <sheet name="Cost to Revenue" sheetId="5" r:id="rId4"/>
    <sheet name="highest one day amount " sheetId="7" r:id="rId5"/>
    <sheet name="MtM VaR" sheetId="8" r:id="rId6"/>
    <sheet name="Failed Trades" sheetId="9"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_xlnm._FilterDatabase" localSheetId="1" hidden="1">'Excess net capital'!$C$11:$M$26</definedName>
    <definedName name="_xlnm._FilterDatabase" localSheetId="5" hidden="1">'MtM VaR'!#REF!</definedName>
    <definedName name="_vae95">INDIRECT('[1]Resultados Test1'!$P$41)</definedName>
    <definedName name="_var95">INDIRECT('[1]Resultados Test1'!$P$40)</definedName>
    <definedName name="_vena_CapSIS_B1_C_1_230858509795983360">'CCAR 9Q capital ratios'!$F$5</definedName>
    <definedName name="_vena_CapSIS_B1_C_1_230858525113581568">'CCAR 9Q capital ratios'!$G$5</definedName>
    <definedName name="_vena_CapSIS_B1_C_1_230858539172888576">'CCAR 9Q capital ratios'!$H$5</definedName>
    <definedName name="_vena_CapSIS_B1_C_1_230858563583737856">'CCAR 9Q capital ratios'!$I$5</definedName>
    <definedName name="_vena_CapSIS_B1_C_1_230858841607110656">'CCAR 9Q capital ratios'!$K$5</definedName>
    <definedName name="_vena_CapSIS_B1_C_1_230858841607110656_1">'CCAR 9Q capital ratios'!$U$5</definedName>
    <definedName name="_vena_CapSIS_B1_C_1_230858841607110656_2">'CCAR 9Q capital ratios'!$AE$5</definedName>
    <definedName name="_vena_CapSIS_B1_C_1_230858841607110656_3">'CCAR 9Q capital ratios'!$AO$5</definedName>
    <definedName name="_vena_CapSIS_B1_C_1_230858841607110656_4">'CCAR 9Q capital ratios'!$AY$5</definedName>
    <definedName name="_vena_CapSIS_B1_C_1_230858864537370624">'CCAR 9Q capital ratios'!$L$5</definedName>
    <definedName name="_vena_CapSIS_B1_C_1_230858864537370624_1">'CCAR 9Q capital ratios'!$V$5</definedName>
    <definedName name="_vena_CapSIS_B1_C_1_230858864537370624_2">'CCAR 9Q capital ratios'!$AF$5</definedName>
    <definedName name="_vena_CapSIS_B1_C_1_230858864537370624_3">'CCAR 9Q capital ratios'!$AP$5</definedName>
    <definedName name="_vena_CapSIS_B1_C_1_230858864537370624_4">'CCAR 9Q capital ratios'!$AZ$5</definedName>
    <definedName name="_vena_CapSIS_B1_C_1_230858883713728512">'CCAR 9Q capital ratios'!$M$5</definedName>
    <definedName name="_vena_CapSIS_B1_C_1_230858883713728512_1">'CCAR 9Q capital ratios'!$W$5</definedName>
    <definedName name="_vena_CapSIS_B1_C_1_230858883713728512_2">'CCAR 9Q capital ratios'!$AG$5</definedName>
    <definedName name="_vena_CapSIS_B1_C_1_230858883713728512_3">'CCAR 9Q capital ratios'!$AQ$5</definedName>
    <definedName name="_vena_CapSIS_B1_C_1_230858883713728512_4">'CCAR 9Q capital ratios'!$BA$5</definedName>
    <definedName name="_vena_CapSIS_B1_C_1_230858941431545856">'CCAR 9Q capital ratios'!$N$5</definedName>
    <definedName name="_vena_CapSIS_B1_C_1_230858941431545856_1">'CCAR 9Q capital ratios'!$X$5</definedName>
    <definedName name="_vena_CapSIS_B1_C_1_230858941431545856_2">'CCAR 9Q capital ratios'!$AH$5</definedName>
    <definedName name="_vena_CapSIS_B1_C_1_230858941431545856_3">'CCAR 9Q capital ratios'!$AR$5</definedName>
    <definedName name="_vena_CapSIS_B1_C_1_230858941431545856_4">'CCAR 9Q capital ratios'!$BB$5</definedName>
    <definedName name="_vena_CapSIS_B1_C_1_230859049971744768">'CCAR 9Q capital ratios'!$O$5</definedName>
    <definedName name="_vena_CapSIS_B1_C_1_230859049971744768_1">'CCAR 9Q capital ratios'!$Y$5</definedName>
    <definedName name="_vena_CapSIS_B1_C_1_230859049971744768_2">'CCAR 9Q capital ratios'!$AI$5</definedName>
    <definedName name="_vena_CapSIS_B1_C_1_230859049971744768_3">'CCAR 9Q capital ratios'!$AS$5</definedName>
    <definedName name="_vena_CapSIS_B1_C_1_230859049971744768_4">'CCAR 9Q capital ratios'!$BC$5</definedName>
    <definedName name="_vena_CapSIS_B1_C_1_230859064827969536">'CCAR 9Q capital ratios'!$P$5</definedName>
    <definedName name="_vena_CapSIS_B1_C_1_230859064827969536_1">'CCAR 9Q capital ratios'!$Z$5</definedName>
    <definedName name="_vena_CapSIS_B1_C_1_230859064827969536_2">'CCAR 9Q capital ratios'!$AJ$5</definedName>
    <definedName name="_vena_CapSIS_B1_C_1_230859064827969536_3">'CCAR 9Q capital ratios'!$AT$5</definedName>
    <definedName name="_vena_CapSIS_B1_C_1_230859064827969536_4">'CCAR 9Q capital ratios'!$BD$5</definedName>
    <definedName name="_vena_CapSIS_B1_C_1_230859078451068928">'CCAR 9Q capital ratios'!$Q$5</definedName>
    <definedName name="_vena_CapSIS_B1_C_1_230859078451068928_1">'CCAR 9Q capital ratios'!$AA$5</definedName>
    <definedName name="_vena_CapSIS_B1_C_1_230859078451068928_2">'CCAR 9Q capital ratios'!$AK$5</definedName>
    <definedName name="_vena_CapSIS_B1_C_1_230859078451068928_3">'CCAR 9Q capital ratios'!$AU$5</definedName>
    <definedName name="_vena_CapSIS_B1_C_1_230859078451068928_4">'CCAR 9Q capital ratios'!$BE$5</definedName>
    <definedName name="_vena_CapSIS_B1_C_1_230859093835776000">'CCAR 9Q capital ratios'!$R$5</definedName>
    <definedName name="_vena_CapSIS_B1_C_1_230859093835776000_1">'CCAR 9Q capital ratios'!$AB$5</definedName>
    <definedName name="_vena_CapSIS_B1_C_1_230859093835776000_2">'CCAR 9Q capital ratios'!$AL$5</definedName>
    <definedName name="_vena_CapSIS_B1_C_1_230859093835776000_3">'CCAR 9Q capital ratios'!$AV$5</definedName>
    <definedName name="_vena_CapSIS_B1_C_1_230859093835776000_4">'CCAR 9Q capital ratios'!$BF$5</definedName>
    <definedName name="_vena_CapSIS_B1_C_1_248550486083371008">'CCAR 9Q capital ratios'!$S$5</definedName>
    <definedName name="_vena_CapSIS_B1_C_1_248550486083371008_1">'CCAR 9Q capital ratios'!$AC$5</definedName>
    <definedName name="_vena_CapSIS_B1_C_1_248550486083371008_2">'CCAR 9Q capital ratios'!$AM$5</definedName>
    <definedName name="_vena_CapSIS_B1_C_1_248550486083371008_3">'CCAR 9Q capital ratios'!$AW$5</definedName>
    <definedName name="_vena_CapSIS_B1_C_1_248550486083371008_4">'CCAR 9Q capital ratios'!$BG$5</definedName>
    <definedName name="_vena_CapSIS_B1_C_2_230860126356111360">'CCAR 9Q capital ratios'!$I$6</definedName>
    <definedName name="_vena_CapSIS_B1_C_2_230860226616754176">'CCAR 9Q capital ratios'!$K$6</definedName>
    <definedName name="_vena_CapSIS_B1_C_2_230860226616754176_1">'CCAR 9Q capital ratios'!$U$6</definedName>
    <definedName name="_vena_CapSIS_B1_C_2_230860226616754176_2">'CCAR 9Q capital ratios'!$AE$6</definedName>
    <definedName name="_vena_CapSIS_B1_C_2_230860226616754176_3">'CCAR 9Q capital ratios'!$AO$6</definedName>
    <definedName name="_vena_CapSIS_B1_C_2_230860226616754176_4">'CCAR 9Q capital ratios'!$AY$6</definedName>
    <definedName name="_vena_CapSIS_B1_C_2_230860237857488896">'CCAR 9Q capital ratios'!$L$6</definedName>
    <definedName name="_vena_CapSIS_B1_C_2_230860237857488896_1">'CCAR 9Q capital ratios'!$V$6</definedName>
    <definedName name="_vena_CapSIS_B1_C_2_230860237857488896_2">'CCAR 9Q capital ratios'!$AF$6</definedName>
    <definedName name="_vena_CapSIS_B1_C_2_230860237857488896_3">'CCAR 9Q capital ratios'!$AP$6</definedName>
    <definedName name="_vena_CapSIS_B1_C_2_230860237857488896_4">'CCAR 9Q capital ratios'!$AZ$6</definedName>
    <definedName name="_vena_CapSIS_B1_C_2_230860246497755136">'CCAR 9Q capital ratios'!$M$6</definedName>
    <definedName name="_vena_CapSIS_B1_C_2_230860246497755136_1">'CCAR 9Q capital ratios'!$W$6</definedName>
    <definedName name="_vena_CapSIS_B1_C_2_230860246497755136_2">'CCAR 9Q capital ratios'!$AG$6</definedName>
    <definedName name="_vena_CapSIS_B1_C_2_230860246497755136_3">'CCAR 9Q capital ratios'!$AQ$6</definedName>
    <definedName name="_vena_CapSIS_B1_C_2_230860246497755136_4">'CCAR 9Q capital ratios'!$BA$6</definedName>
    <definedName name="_vena_CapSIS_B1_C_2_230860256148848640">'CCAR 9Q capital ratios'!$N$6</definedName>
    <definedName name="_vena_CapSIS_B1_C_2_230860256148848640_1">'CCAR 9Q capital ratios'!$X$6</definedName>
    <definedName name="_vena_CapSIS_B1_C_2_230860256148848640_2">'CCAR 9Q capital ratios'!$AH$6</definedName>
    <definedName name="_vena_CapSIS_B1_C_2_230860256148848640_3">'CCAR 9Q capital ratios'!$AR$6</definedName>
    <definedName name="_vena_CapSIS_B1_C_2_230860256148848640_4">'CCAR 9Q capital ratios'!$BB$6</definedName>
    <definedName name="_vena_CapSIS_B1_C_2_230860293570428928">'CCAR 9Q capital ratios'!$O$6</definedName>
    <definedName name="_vena_CapSIS_B1_C_2_230860293570428928_1">'CCAR 9Q capital ratios'!$Y$6</definedName>
    <definedName name="_vena_CapSIS_B1_C_2_230860293570428928_2">'CCAR 9Q capital ratios'!$AI$6</definedName>
    <definedName name="_vena_CapSIS_B1_C_2_230860293570428928_3">'CCAR 9Q capital ratios'!$AS$6</definedName>
    <definedName name="_vena_CapSIS_B1_C_2_230860293570428928_4">'CCAR 9Q capital ratios'!$BC$6</definedName>
    <definedName name="_vena_CapSIS_B1_C_2_230860306308530176">'CCAR 9Q capital ratios'!$P$6</definedName>
    <definedName name="_vena_CapSIS_B1_C_2_230860306308530176_1">'CCAR 9Q capital ratios'!$Z$6</definedName>
    <definedName name="_vena_CapSIS_B1_C_2_230860306308530176_2">'CCAR 9Q capital ratios'!$AJ$6</definedName>
    <definedName name="_vena_CapSIS_B1_C_2_230860306308530176_3">'CCAR 9Q capital ratios'!$AT$6</definedName>
    <definedName name="_vena_CapSIS_B1_C_2_230860306308530176_4">'CCAR 9Q capital ratios'!$BD$6</definedName>
    <definedName name="_vena_CapSIS_B1_C_2_230860320749518848">'CCAR 9Q capital ratios'!$Q$6</definedName>
    <definedName name="_vena_CapSIS_B1_C_2_230860320749518848_1">'CCAR 9Q capital ratios'!$AA$6</definedName>
    <definedName name="_vena_CapSIS_B1_C_2_230860320749518848_2">'CCAR 9Q capital ratios'!$AK$6</definedName>
    <definedName name="_vena_CapSIS_B1_C_2_230860320749518848_3">'CCAR 9Q capital ratios'!$AU$6</definedName>
    <definedName name="_vena_CapSIS_B1_C_2_230860320749518848_4">'CCAR 9Q capital ratios'!$BE$6</definedName>
    <definedName name="_vena_CapSIS_B1_C_2_230860332363546624">'CCAR 9Q capital ratios'!$R$6</definedName>
    <definedName name="_vena_CapSIS_B1_C_2_230860332363546624_1">'CCAR 9Q capital ratios'!$AB$6</definedName>
    <definedName name="_vena_CapSIS_B1_C_2_230860332363546624_2">'CCAR 9Q capital ratios'!$AL$6</definedName>
    <definedName name="_vena_CapSIS_B1_C_2_230860332363546624_3">'CCAR 9Q capital ratios'!$AV$6</definedName>
    <definedName name="_vena_CapSIS_B1_C_2_230860332363546624_4">'CCAR 9Q capital ratios'!$BF$6</definedName>
    <definedName name="_vena_CapSIS_B1_C_2_230860342882861056">'CCAR 9Q capital ratios'!$S$6</definedName>
    <definedName name="_vena_CapSIS_B1_C_2_230860342882861056_1">'CCAR 9Q capital ratios'!$AC$6</definedName>
    <definedName name="_vena_CapSIS_B1_C_2_230860342882861056_2">'CCAR 9Q capital ratios'!$AM$6</definedName>
    <definedName name="_vena_CapSIS_B1_C_2_230860342882861056_3">'CCAR 9Q capital ratios'!$AW$6</definedName>
    <definedName name="_vena_CapSIS_B1_C_2_230860342882861056_4">'CCAR 9Q capital ratios'!$BG$6</definedName>
    <definedName name="_vena_CapSIS_B1_C_2_248614950019268608">'CCAR 9Q capital ratios'!$F$6</definedName>
    <definedName name="_vena_CapSIS_B1_C_2_248614950019268608_1">'CCAR 9Q capital ratios'!$G$6</definedName>
    <definedName name="_vena_CapSIS_B1_C_2_248614950019268608_2">'CCAR 9Q capital ratios'!$H$6</definedName>
    <definedName name="_vena_CapSIS_B1_C_3_230860830692999168">'CCAR 9Q capital ratios'!$K$3</definedName>
    <definedName name="_vena_CapSIS_B1_C_3_230860830692999168_1">'CCAR 9Q capital ratios'!$L$3</definedName>
    <definedName name="_vena_CapSIS_B1_C_3_230860830692999168_10">'CCAR 9Q capital ratios'!$V$3</definedName>
    <definedName name="_vena_CapSIS_B1_C_3_230860830692999168_11">'CCAR 9Q capital ratios'!$W$3</definedName>
    <definedName name="_vena_CapSIS_B1_C_3_230860830692999168_12">'CCAR 9Q capital ratios'!$X$3</definedName>
    <definedName name="_vena_CapSIS_B1_C_3_230860830692999168_13">'CCAR 9Q capital ratios'!$Y$3</definedName>
    <definedName name="_vena_CapSIS_B1_C_3_230860830692999168_14">'CCAR 9Q capital ratios'!$Z$3</definedName>
    <definedName name="_vena_CapSIS_B1_C_3_230860830692999168_15">'CCAR 9Q capital ratios'!$AA$3</definedName>
    <definedName name="_vena_CapSIS_B1_C_3_230860830692999168_16">'CCAR 9Q capital ratios'!$AB$3</definedName>
    <definedName name="_vena_CapSIS_B1_C_3_230860830692999168_17">'CCAR 9Q capital ratios'!$AC$3</definedName>
    <definedName name="_vena_CapSIS_B1_C_3_230860830692999168_18">'CCAR 9Q capital ratios'!$AE$3</definedName>
    <definedName name="_vena_CapSIS_B1_C_3_230860830692999168_19">'CCAR 9Q capital ratios'!$AF$3</definedName>
    <definedName name="_vena_CapSIS_B1_C_3_230860830692999168_2">'CCAR 9Q capital ratios'!$M$3</definedName>
    <definedName name="_vena_CapSIS_B1_C_3_230860830692999168_20">'CCAR 9Q capital ratios'!$AG$3</definedName>
    <definedName name="_vena_CapSIS_B1_C_3_230860830692999168_21">'CCAR 9Q capital ratios'!$AH$3</definedName>
    <definedName name="_vena_CapSIS_B1_C_3_230860830692999168_22">'CCAR 9Q capital ratios'!$AI$3</definedName>
    <definedName name="_vena_CapSIS_B1_C_3_230860830692999168_23">'CCAR 9Q capital ratios'!$AJ$3</definedName>
    <definedName name="_vena_CapSIS_B1_C_3_230860830692999168_24">'CCAR 9Q capital ratios'!$AK$3</definedName>
    <definedName name="_vena_CapSIS_B1_C_3_230860830692999168_25">'CCAR 9Q capital ratios'!$AL$3</definedName>
    <definedName name="_vena_CapSIS_B1_C_3_230860830692999168_26">'CCAR 9Q capital ratios'!$AM$3</definedName>
    <definedName name="_vena_CapSIS_B1_C_3_230860830692999168_27">'CCAR 9Q capital ratios'!$AO$3</definedName>
    <definedName name="_vena_CapSIS_B1_C_3_230860830692999168_28">'CCAR 9Q capital ratios'!$AP$3</definedName>
    <definedName name="_vena_CapSIS_B1_C_3_230860830692999168_29">'CCAR 9Q capital ratios'!$AQ$3</definedName>
    <definedName name="_vena_CapSIS_B1_C_3_230860830692999168_3">'CCAR 9Q capital ratios'!$N$3</definedName>
    <definedName name="_vena_CapSIS_B1_C_3_230860830692999168_30">'CCAR 9Q capital ratios'!$AR$3</definedName>
    <definedName name="_vena_CapSIS_B1_C_3_230860830692999168_31">'CCAR 9Q capital ratios'!$AS$3</definedName>
    <definedName name="_vena_CapSIS_B1_C_3_230860830692999168_32">'CCAR 9Q capital ratios'!$AT$3</definedName>
    <definedName name="_vena_CapSIS_B1_C_3_230860830692999168_33">'CCAR 9Q capital ratios'!$AU$3</definedName>
    <definedName name="_vena_CapSIS_B1_C_3_230860830692999168_34">'CCAR 9Q capital ratios'!$AV$3</definedName>
    <definedName name="_vena_CapSIS_B1_C_3_230860830692999168_35">'CCAR 9Q capital ratios'!$AW$3</definedName>
    <definedName name="_vena_CapSIS_B1_C_3_230860830692999168_36">'CCAR 9Q capital ratios'!$AY$3</definedName>
    <definedName name="_vena_CapSIS_B1_C_3_230860830692999168_37">'CCAR 9Q capital ratios'!$AZ$3</definedName>
    <definedName name="_vena_CapSIS_B1_C_3_230860830692999168_38">'CCAR 9Q capital ratios'!$BA$3</definedName>
    <definedName name="_vena_CapSIS_B1_C_3_230860830692999168_39">'CCAR 9Q capital ratios'!$BB$3</definedName>
    <definedName name="_vena_CapSIS_B1_C_3_230860830692999168_4">'CCAR 9Q capital ratios'!$O$3</definedName>
    <definedName name="_vena_CapSIS_B1_C_3_230860830692999168_40">'CCAR 9Q capital ratios'!$BC$3</definedName>
    <definedName name="_vena_CapSIS_B1_C_3_230860830692999168_41">'CCAR 9Q capital ratios'!$BD$3</definedName>
    <definedName name="_vena_CapSIS_B1_C_3_230860830692999168_42">'CCAR 9Q capital ratios'!$BE$3</definedName>
    <definedName name="_vena_CapSIS_B1_C_3_230860830692999168_43">'CCAR 9Q capital ratios'!$BF$3</definedName>
    <definedName name="_vena_CapSIS_B1_C_3_230860830692999168_44">'CCAR 9Q capital ratios'!$BG$3</definedName>
    <definedName name="_vena_CapSIS_B1_C_3_230860830692999168_45">'CCAR 9Q capital ratios'!$I$3</definedName>
    <definedName name="_vena_CapSIS_B1_C_3_230860830692999168_5">'CCAR 9Q capital ratios'!$P$3</definedName>
    <definedName name="_vena_CapSIS_B1_C_3_230860830692999168_6">'CCAR 9Q capital ratios'!$Q$3</definedName>
    <definedName name="_vena_CapSIS_B1_C_3_230860830692999168_7">'CCAR 9Q capital ratios'!$R$3</definedName>
    <definedName name="_vena_CapSIS_B1_C_3_230860830692999168_8">'CCAR 9Q capital ratios'!$S$3</definedName>
    <definedName name="_vena_CapSIS_B1_C_3_230860830692999168_9">'CCAR 9Q capital ratios'!$U$3</definedName>
    <definedName name="_vena_CapSIS_B1_C_3_230860959693012992">'CCAR 9Q capital ratios'!$F$3</definedName>
    <definedName name="_vena_CapSIS_B1_C_3_230860959693012992_1">'CCAR 9Q capital ratios'!$G$3</definedName>
    <definedName name="_vena_CapSIS_B1_C_3_230860959693012992_2">'CCAR 9Q capital ratios'!$H$3</definedName>
    <definedName name="_vena_CapSIS_B1_C_4_230862887281885184">'CCAR 9Q capital ratios'!$K$4</definedName>
    <definedName name="_vena_CapSIS_B1_C_4_230862887281885184_1">'CCAR 9Q capital ratios'!$L$4</definedName>
    <definedName name="_vena_CapSIS_B1_C_4_230862887281885184_2">'CCAR 9Q capital ratios'!$M$4</definedName>
    <definedName name="_vena_CapSIS_B1_C_4_230862887281885184_3">'CCAR 9Q capital ratios'!$N$4</definedName>
    <definedName name="_vena_CapSIS_B1_C_4_230862887281885184_4">'CCAR 9Q capital ratios'!$O$4</definedName>
    <definedName name="_vena_CapSIS_B1_C_4_230862887281885184_5">'CCAR 9Q capital ratios'!$P$4</definedName>
    <definedName name="_vena_CapSIS_B1_C_4_230862887281885184_6">'CCAR 9Q capital ratios'!$Q$4</definedName>
    <definedName name="_vena_CapSIS_B1_C_4_230862887281885184_7">'CCAR 9Q capital ratios'!$R$4</definedName>
    <definedName name="_vena_CapSIS_B1_C_4_230862887281885184_8">'CCAR 9Q capital ratios'!$S$4</definedName>
    <definedName name="_vena_CapSIS_B1_C_4_230862937282183168">'CCAR 9Q capital ratios'!$U$4</definedName>
    <definedName name="_vena_CapSIS_B1_C_4_230862937282183168_1">'CCAR 9Q capital ratios'!$V$4</definedName>
    <definedName name="_vena_CapSIS_B1_C_4_230862937282183168_2">'CCAR 9Q capital ratios'!$W$4</definedName>
    <definedName name="_vena_CapSIS_B1_C_4_230862937282183168_3">'CCAR 9Q capital ratios'!$X$4</definedName>
    <definedName name="_vena_CapSIS_B1_C_4_230862937282183168_4">'CCAR 9Q capital ratios'!$Y$4</definedName>
    <definedName name="_vena_CapSIS_B1_C_4_230862937282183168_5">'CCAR 9Q capital ratios'!$Z$4</definedName>
    <definedName name="_vena_CapSIS_B1_C_4_230862937282183168_6">'CCAR 9Q capital ratios'!$AA$4</definedName>
    <definedName name="_vena_CapSIS_B1_C_4_230862937282183168_7">'CCAR 9Q capital ratios'!$AB$4</definedName>
    <definedName name="_vena_CapSIS_B1_C_4_230862937282183168_8">'CCAR 9Q capital ratios'!$AC$4</definedName>
    <definedName name="_vena_CapSIS_B1_C_4_230862963278479360">'CCAR 9Q capital ratios'!$AE$4</definedName>
    <definedName name="_vena_CapSIS_B1_C_4_230862963278479360_1">'CCAR 9Q capital ratios'!$AF$4</definedName>
    <definedName name="_vena_CapSIS_B1_C_4_230862963278479360_2">'CCAR 9Q capital ratios'!$AG$4</definedName>
    <definedName name="_vena_CapSIS_B1_C_4_230862963278479360_3">'CCAR 9Q capital ratios'!$AH$4</definedName>
    <definedName name="_vena_CapSIS_B1_C_4_230862963278479360_4">'CCAR 9Q capital ratios'!$AI$4</definedName>
    <definedName name="_vena_CapSIS_B1_C_4_230862963278479360_5">'CCAR 9Q capital ratios'!$AJ$4</definedName>
    <definedName name="_vena_CapSIS_B1_C_4_230862963278479360_6">'CCAR 9Q capital ratios'!$AK$4</definedName>
    <definedName name="_vena_CapSIS_B1_C_4_230862963278479360_7">'CCAR 9Q capital ratios'!$AL$4</definedName>
    <definedName name="_vena_CapSIS_B1_C_4_230862963278479360_8">'CCAR 9Q capital ratios'!$AM$4</definedName>
    <definedName name="_vena_CapSIS_B1_C_4_230863001366953984">'CCAR 9Q capital ratios'!$AO$4</definedName>
    <definedName name="_vena_CapSIS_B1_C_4_230863001366953984_1">'CCAR 9Q capital ratios'!$AP$4</definedName>
    <definedName name="_vena_CapSIS_B1_C_4_230863001366953984_2">'CCAR 9Q capital ratios'!$AQ$4</definedName>
    <definedName name="_vena_CapSIS_B1_C_4_230863001366953984_3">'CCAR 9Q capital ratios'!$AR$4</definedName>
    <definedName name="_vena_CapSIS_B1_C_4_230863001366953984_4">'CCAR 9Q capital ratios'!$AS$4</definedName>
    <definedName name="_vena_CapSIS_B1_C_4_230863001366953984_5">'CCAR 9Q capital ratios'!$AT$4</definedName>
    <definedName name="_vena_CapSIS_B1_C_4_230863001366953984_6">'CCAR 9Q capital ratios'!$AU$4</definedName>
    <definedName name="_vena_CapSIS_B1_C_4_230863001366953984_7">'CCAR 9Q capital ratios'!$AV$4</definedName>
    <definedName name="_vena_CapSIS_B1_C_4_230863001366953984_8">'CCAR 9Q capital ratios'!$AW$4</definedName>
    <definedName name="_vena_CapSIS_B1_C_4_230863046111789056">'CCAR 9Q capital ratios'!$AY$4</definedName>
    <definedName name="_vena_CapSIS_B1_C_4_230863046111789056_1">'CCAR 9Q capital ratios'!$AZ$4</definedName>
    <definedName name="_vena_CapSIS_B1_C_4_230863046111789056_2">'CCAR 9Q capital ratios'!$BA$4</definedName>
    <definedName name="_vena_CapSIS_B1_C_4_230863046111789056_3">'CCAR 9Q capital ratios'!$BB$4</definedName>
    <definedName name="_vena_CapSIS_B1_C_4_230863046111789056_4">'CCAR 9Q capital ratios'!$BC$4</definedName>
    <definedName name="_vena_CapSIS_B1_C_4_230863046111789056_5">'CCAR 9Q capital ratios'!$BD$4</definedName>
    <definedName name="_vena_CapSIS_B1_C_4_230863046111789056_6">'CCAR 9Q capital ratios'!$BE$4</definedName>
    <definedName name="_vena_CapSIS_B1_C_4_230863046111789056_7">'CCAR 9Q capital ratios'!$BF$4</definedName>
    <definedName name="_vena_CapSIS_B1_C_4_230863046111789056_8">'CCAR 9Q capital ratios'!$BG$4</definedName>
    <definedName name="_vena_CapSIS_B1_C_4_230863071093063680">'CCAR 9Q capital ratios'!$F$4</definedName>
    <definedName name="_vena_CapSIS_B1_C_4_230863071093063680_1">'CCAR 9Q capital ratios'!$G$4</definedName>
    <definedName name="_vena_CapSIS_B1_C_4_230863071093063680_2">'CCAR 9Q capital ratios'!$H$4</definedName>
    <definedName name="_vena_CapSIS_B1_C_4_230863071093063680_3">'CCAR 9Q capital ratios'!$I$4</definedName>
    <definedName name="_vena_CapSIS_B1_C_FV_6053e8fe227041fcbe8015c4f16779fe_10">'CCAR 9Q capital ratios'!$P$2</definedName>
    <definedName name="_vena_CapSIS_B1_C_FV_6053e8fe227041fcbe8015c4f16779fe_11">'CCAR 9Q capital ratios'!$Q$2</definedName>
    <definedName name="_vena_CapSIS_B1_C_FV_6053e8fe227041fcbe8015c4f16779fe_12">'CCAR 9Q capital ratios'!$R$2</definedName>
    <definedName name="_vena_CapSIS_B1_C_FV_6053e8fe227041fcbe8015c4f16779fe_13">'CCAR 9Q capital ratios'!$S$2</definedName>
    <definedName name="_vena_CapSIS_B1_C_FV_6053e8fe227041fcbe8015c4f16779fe_14">'CCAR 9Q capital ratios'!$U$2</definedName>
    <definedName name="_vena_CapSIS_B1_C_FV_6053e8fe227041fcbe8015c4f16779fe_15">'CCAR 9Q capital ratios'!$V$2</definedName>
    <definedName name="_vena_CapSIS_B1_C_FV_6053e8fe227041fcbe8015c4f16779fe_16">'CCAR 9Q capital ratios'!$W$2</definedName>
    <definedName name="_vena_CapSIS_B1_C_FV_6053e8fe227041fcbe8015c4f16779fe_17">'CCAR 9Q capital ratios'!$X$2</definedName>
    <definedName name="_vena_CapSIS_B1_C_FV_6053e8fe227041fcbe8015c4f16779fe_18">'CCAR 9Q capital ratios'!$Y$2</definedName>
    <definedName name="_vena_CapSIS_B1_C_FV_6053e8fe227041fcbe8015c4f16779fe_19">'CCAR 9Q capital ratios'!$Z$2</definedName>
    <definedName name="_vena_CapSIS_B1_C_FV_6053e8fe227041fcbe8015c4f16779fe_20">'CCAR 9Q capital ratios'!$AA$2</definedName>
    <definedName name="_vena_CapSIS_B1_C_FV_6053e8fe227041fcbe8015c4f16779fe_21">'CCAR 9Q capital ratios'!$AB$2</definedName>
    <definedName name="_vena_CapSIS_B1_C_FV_6053e8fe227041fcbe8015c4f16779fe_22">'CCAR 9Q capital ratios'!$AC$2</definedName>
    <definedName name="_vena_CapSIS_B1_C_FV_6053e8fe227041fcbe8015c4f16779fe_23">'CCAR 9Q capital ratios'!$AE$2</definedName>
    <definedName name="_vena_CapSIS_B1_C_FV_6053e8fe227041fcbe8015c4f16779fe_24">'CCAR 9Q capital ratios'!$AF$2</definedName>
    <definedName name="_vena_CapSIS_B1_C_FV_6053e8fe227041fcbe8015c4f16779fe_25">'CCAR 9Q capital ratios'!$AG$2</definedName>
    <definedName name="_vena_CapSIS_B1_C_FV_6053e8fe227041fcbe8015c4f16779fe_26">'CCAR 9Q capital ratios'!$AH$2</definedName>
    <definedName name="_vena_CapSIS_B1_C_FV_6053e8fe227041fcbe8015c4f16779fe_27">'CCAR 9Q capital ratios'!$AI$2</definedName>
    <definedName name="_vena_CapSIS_B1_C_FV_6053e8fe227041fcbe8015c4f16779fe_28">'CCAR 9Q capital ratios'!$AJ$2</definedName>
    <definedName name="_vena_CapSIS_B1_C_FV_6053e8fe227041fcbe8015c4f16779fe_29">'CCAR 9Q capital ratios'!$AK$2</definedName>
    <definedName name="_vena_CapSIS_B1_C_FV_6053e8fe227041fcbe8015c4f16779fe_30">'CCAR 9Q capital ratios'!$AL$2</definedName>
    <definedName name="_vena_CapSIS_B1_C_FV_6053e8fe227041fcbe8015c4f16779fe_31">'CCAR 9Q capital ratios'!$AM$2</definedName>
    <definedName name="_vena_CapSIS_B1_C_FV_6053e8fe227041fcbe8015c4f16779fe_32">'CCAR 9Q capital ratios'!$AO$2</definedName>
    <definedName name="_vena_CapSIS_B1_C_FV_6053e8fe227041fcbe8015c4f16779fe_33">'CCAR 9Q capital ratios'!$AP$2</definedName>
    <definedName name="_vena_CapSIS_B1_C_FV_6053e8fe227041fcbe8015c4f16779fe_34">'CCAR 9Q capital ratios'!$AQ$2</definedName>
    <definedName name="_vena_CapSIS_B1_C_FV_6053e8fe227041fcbe8015c4f16779fe_35">'CCAR 9Q capital ratios'!$AR$2</definedName>
    <definedName name="_vena_CapSIS_B1_C_FV_6053e8fe227041fcbe8015c4f16779fe_36">'CCAR 9Q capital ratios'!$AS$2</definedName>
    <definedName name="_vena_CapSIS_B1_C_FV_6053e8fe227041fcbe8015c4f16779fe_37">'CCAR 9Q capital ratios'!$AT$2</definedName>
    <definedName name="_vena_CapSIS_B1_C_FV_6053e8fe227041fcbe8015c4f16779fe_38">'CCAR 9Q capital ratios'!$AU$2</definedName>
    <definedName name="_vena_CapSIS_B1_C_FV_6053e8fe227041fcbe8015c4f16779fe_39">'CCAR 9Q capital ratios'!$AV$2</definedName>
    <definedName name="_vena_CapSIS_B1_C_FV_6053e8fe227041fcbe8015c4f16779fe_40">'CCAR 9Q capital ratios'!$AW$2</definedName>
    <definedName name="_vena_CapSIS_B1_C_FV_6053e8fe227041fcbe8015c4f16779fe_41">'CCAR 9Q capital ratios'!$AY$2</definedName>
    <definedName name="_vena_CapSIS_B1_C_FV_6053e8fe227041fcbe8015c4f16779fe_42">'CCAR 9Q capital ratios'!$AZ$2</definedName>
    <definedName name="_vena_CapSIS_B1_C_FV_6053e8fe227041fcbe8015c4f16779fe_43">'CCAR 9Q capital ratios'!$BA$2</definedName>
    <definedName name="_vena_CapSIS_B1_C_FV_6053e8fe227041fcbe8015c4f16779fe_44">'CCAR 9Q capital ratios'!$BB$2</definedName>
    <definedName name="_vena_CapSIS_B1_C_FV_6053e8fe227041fcbe8015c4f16779fe_45">'CCAR 9Q capital ratios'!$BC$2</definedName>
    <definedName name="_vena_CapSIS_B1_C_FV_6053e8fe227041fcbe8015c4f16779fe_46">'CCAR 9Q capital ratios'!$BD$2</definedName>
    <definedName name="_vena_CapSIS_B1_C_FV_6053e8fe227041fcbe8015c4f16779fe_47">'CCAR 9Q capital ratios'!$BE$2</definedName>
    <definedName name="_vena_CapSIS_B1_C_FV_6053e8fe227041fcbe8015c4f16779fe_48">'CCAR 9Q capital ratios'!$BF$2</definedName>
    <definedName name="_vena_CapSIS_B1_C_FV_6053e8fe227041fcbe8015c4f16779fe_49">'CCAR 9Q capital ratios'!$BG$2</definedName>
    <definedName name="_vena_CapSIS_B1_C_FV_6053e8fe227041fcbe8015c4f16779fe_5">'CCAR 9Q capital ratios'!$K$2</definedName>
    <definedName name="_vena_CapSIS_B1_C_FV_6053e8fe227041fcbe8015c4f16779fe_50">'CCAR 9Q capital ratios'!$F$2</definedName>
    <definedName name="_vena_CapSIS_B1_C_FV_6053e8fe227041fcbe8015c4f16779fe_51">'CCAR 9Q capital ratios'!$G$2</definedName>
    <definedName name="_vena_CapSIS_B1_C_FV_6053e8fe227041fcbe8015c4f16779fe_52">'CCAR 9Q capital ratios'!$H$2</definedName>
    <definedName name="_vena_CapSIS_B1_C_FV_6053e8fe227041fcbe8015c4f16779fe_53">'CCAR 9Q capital ratios'!$I$2</definedName>
    <definedName name="_vena_CapSIS_B1_C_FV_6053e8fe227041fcbe8015c4f16779fe_6">'CCAR 9Q capital ratios'!$L$2</definedName>
    <definedName name="_vena_CapSIS_B1_C_FV_6053e8fe227041fcbe8015c4f16779fe_7">'CCAR 9Q capital ratios'!$M$2</definedName>
    <definedName name="_vena_CapSIS_B1_C_FV_6053e8fe227041fcbe8015c4f16779fe_8">'CCAR 9Q capital ratios'!$N$2</definedName>
    <definedName name="_vena_CapSIS_B1_C_FV_6053e8fe227041fcbe8015c4f16779fe_9">'CCAR 9Q capital ratios'!$O$2</definedName>
    <definedName name="_vena_CapSIS_B1_R_6_230844512380125185">'CCAR 9Q capital ratios'!$B$20</definedName>
    <definedName name="_vena_CapSIS_B1_R_6_230844512384319489">'CCAR 9Q capital ratios'!$B$22</definedName>
    <definedName name="_vena_CapSIS_B1_R_6_230844512392708096">'CCAR 9Q capital ratios'!$B$24</definedName>
    <definedName name="_vena_CapSIS_B1_R_6_230844513344815105">'CCAR 9Q capital ratios'!$B$26</definedName>
    <definedName name="_vena_CapSIS_B1_R_6_230844513944600577">'CCAR 9Q capital ratios'!$B$18</definedName>
    <definedName name="_vena_CapSIS_B1_R_6_230844513952989185">'CCAR 9Q capital ratios'!$B$17</definedName>
    <definedName name="_vena_CapSIS_B1_R_6_230844515102228481">'CCAR 9Q capital ratios'!$B$21</definedName>
    <definedName name="_vena_CapSIS_B1_R_6_230844515106422785">'CCAR 9Q capital ratios'!$B$23</definedName>
    <definedName name="_vena_CapSIS_B1_R_6_230844515110617089">'CCAR 9Q capital ratios'!$B$25</definedName>
    <definedName name="_vena_CapSIS_B1_R_6_248210771032539137">'CCAR 9Q capital ratios'!$B$12</definedName>
    <definedName name="_vena_CapSIS_B1_R_6_248210771053510656">'CCAR 9Q capital ratios'!$B$13</definedName>
    <definedName name="_vena_CapSIS_B1_R_6_248210771066093569">'CCAR 9Q capital ratios'!$B$15</definedName>
    <definedName name="_vena_CapSIS_B1_R_6_248210771070287882">'CCAR 9Q capital ratios'!$B$27</definedName>
    <definedName name="_vena_CapSIS_B1_R_6_248210771074482177">'CCAR 9Q capital ratios'!$B$28</definedName>
    <definedName name="_vena_CapSIS_B1_R_6_248210771082870785">'CCAR 9Q capital ratios'!$B$29</definedName>
    <definedName name="_vena_CapSIS_B1_R_6_266748583985152000">'CCAR 9Q capital ratios'!$B$14</definedName>
    <definedName name="_vena_CapSIS_B1_R_6_266756787259179008">'CCAR 9Q capital ratios'!$B$30</definedName>
    <definedName name="_vena_CapSIS_B1_R_9_273913475468623872">'CCAR 9Q capital ratios'!$BI$12</definedName>
    <definedName name="_vena_CapSIS_B1_R_9_273913475468623872_1">'CCAR 9Q capital ratios'!$BI$13</definedName>
    <definedName name="_vena_CapSIS_B1_R_9_273913475468623872_10">'CCAR 9Q capital ratios'!$BI$24</definedName>
    <definedName name="_vena_CapSIS_B1_R_9_273913475468623872_11">'CCAR 9Q capital ratios'!$BI$25</definedName>
    <definedName name="_vena_CapSIS_B1_R_9_273913475468623872_12">'CCAR 9Q capital ratios'!$BI$26</definedName>
    <definedName name="_vena_CapSIS_B1_R_9_273913475468623872_13">'CCAR 9Q capital ratios'!$BI$27</definedName>
    <definedName name="_vena_CapSIS_B1_R_9_273913475468623872_14">'CCAR 9Q capital ratios'!$BI$28</definedName>
    <definedName name="_vena_CapSIS_B1_R_9_273913475468623872_15">'CCAR 9Q capital ratios'!$BI$29</definedName>
    <definedName name="_vena_CapSIS_B1_R_9_273913475468623872_16">'CCAR 9Q capital ratios'!$BI$30</definedName>
    <definedName name="_vena_CapSIS_B1_R_9_273913475468623872_2">'CCAR 9Q capital ratios'!$BI$14</definedName>
    <definedName name="_vena_CapSIS_B1_R_9_273913475468623872_3">'CCAR 9Q capital ratios'!$BI$15</definedName>
    <definedName name="_vena_CapSIS_B1_R_9_273913475468623872_4">'CCAR 9Q capital ratios'!$BI$17</definedName>
    <definedName name="_vena_CapSIS_B1_R_9_273913475468623872_5">'CCAR 9Q capital ratios'!$BI$18</definedName>
    <definedName name="_vena_CapSIS_B1_R_9_273913475468623872_6">'CCAR 9Q capital ratios'!$BI$20</definedName>
    <definedName name="_vena_CapSIS_B1_R_9_273913475468623872_7">'CCAR 9Q capital ratios'!$BI$21</definedName>
    <definedName name="_vena_CapSIS_B1_R_9_273913475468623872_8">'CCAR 9Q capital ratios'!$BI$22</definedName>
    <definedName name="_vena_CapSIS_B1_R_9_273913475468623872_9">'CCAR 9Q capital ratios'!$BI$23</definedName>
    <definedName name="_vena_CapSIS_B2_C_1_230858509795983360">'CCAR 9Q capital ratios'!$F$35</definedName>
    <definedName name="_vena_CapSIS_B2_C_1_230858525113581568">'CCAR 9Q capital ratios'!$G$35</definedName>
    <definedName name="_vena_CapSIS_B2_C_1_230858539172888576">'CCAR 9Q capital ratios'!$H$35</definedName>
    <definedName name="_vena_CapSIS_B2_C_1_230858563583737856">'CCAR 9Q capital ratios'!$I$35</definedName>
    <definedName name="_vena_CapSIS_B2_C_1_230858841607110656">'CCAR 9Q capital ratios'!$AY$35</definedName>
    <definedName name="_vena_CapSIS_B2_C_1_230858841607110656_1">'CCAR 9Q capital ratios'!$AO$35</definedName>
    <definedName name="_vena_CapSIS_B2_C_1_230858841607110656_2">'CCAR 9Q capital ratios'!$AE$35</definedName>
    <definedName name="_vena_CapSIS_B2_C_1_230858841607110656_3">'CCAR 9Q capital ratios'!$U$35</definedName>
    <definedName name="_vena_CapSIS_B2_C_1_230858841607110656_4">'CCAR 9Q capital ratios'!$K$35</definedName>
    <definedName name="_vena_CapSIS_B2_C_1_230858864537370624">'CCAR 9Q capital ratios'!$AZ$35</definedName>
    <definedName name="_vena_CapSIS_B2_C_1_230858864537370624_1">'CCAR 9Q capital ratios'!$AP$35</definedName>
    <definedName name="_vena_CapSIS_B2_C_1_230858864537370624_2">'CCAR 9Q capital ratios'!$AF$35</definedName>
    <definedName name="_vena_CapSIS_B2_C_1_230858864537370624_3">'CCAR 9Q capital ratios'!$V$35</definedName>
    <definedName name="_vena_CapSIS_B2_C_1_230858864537370624_4">'CCAR 9Q capital ratios'!$L$35</definedName>
    <definedName name="_vena_CapSIS_B2_C_1_230858883713728512">'CCAR 9Q capital ratios'!$BA$35</definedName>
    <definedName name="_vena_CapSIS_B2_C_1_230858883713728512_1">'CCAR 9Q capital ratios'!$AQ$35</definedName>
    <definedName name="_vena_CapSIS_B2_C_1_230858883713728512_2">'CCAR 9Q capital ratios'!$AG$35</definedName>
    <definedName name="_vena_CapSIS_B2_C_1_230858883713728512_3">'CCAR 9Q capital ratios'!$W$35</definedName>
    <definedName name="_vena_CapSIS_B2_C_1_230858883713728512_4">'CCAR 9Q capital ratios'!$M$35</definedName>
    <definedName name="_vena_CapSIS_B2_C_1_230858941431545856">'CCAR 9Q capital ratios'!$BB$35</definedName>
    <definedName name="_vena_CapSIS_B2_C_1_230858941431545856_1">'CCAR 9Q capital ratios'!$AR$35</definedName>
    <definedName name="_vena_CapSIS_B2_C_1_230858941431545856_2">'CCAR 9Q capital ratios'!$AH$35</definedName>
    <definedName name="_vena_CapSIS_B2_C_1_230858941431545856_3">'CCAR 9Q capital ratios'!$X$35</definedName>
    <definedName name="_vena_CapSIS_B2_C_1_230858941431545856_4">'CCAR 9Q capital ratios'!$N$35</definedName>
    <definedName name="_vena_CapSIS_B2_C_1_230859049971744768">'CCAR 9Q capital ratios'!$BC$35</definedName>
    <definedName name="_vena_CapSIS_B2_C_1_230859049971744768_1">'CCAR 9Q capital ratios'!$AS$35</definedName>
    <definedName name="_vena_CapSIS_B2_C_1_230859049971744768_2">'CCAR 9Q capital ratios'!$AI$35</definedName>
    <definedName name="_vena_CapSIS_B2_C_1_230859049971744768_3">'CCAR 9Q capital ratios'!$Y$35</definedName>
    <definedName name="_vena_CapSIS_B2_C_1_230859049971744768_4">'CCAR 9Q capital ratios'!$O$35</definedName>
    <definedName name="_vena_CapSIS_B2_C_1_230859064827969536">'CCAR 9Q capital ratios'!$BD$35</definedName>
    <definedName name="_vena_CapSIS_B2_C_1_230859064827969536_1">'CCAR 9Q capital ratios'!$AT$35</definedName>
    <definedName name="_vena_CapSIS_B2_C_1_230859064827969536_2">'CCAR 9Q capital ratios'!$AJ$35</definedName>
    <definedName name="_vena_CapSIS_B2_C_1_230859064827969536_3">'CCAR 9Q capital ratios'!$Z$35</definedName>
    <definedName name="_vena_CapSIS_B2_C_1_230859064827969536_4">'CCAR 9Q capital ratios'!$P$35</definedName>
    <definedName name="_vena_CapSIS_B2_C_1_230859078451068928">'CCAR 9Q capital ratios'!$BE$35</definedName>
    <definedName name="_vena_CapSIS_B2_C_1_230859078451068928_1">'CCAR 9Q capital ratios'!$AU$35</definedName>
    <definedName name="_vena_CapSIS_B2_C_1_230859078451068928_2">'CCAR 9Q capital ratios'!$AK$35</definedName>
    <definedName name="_vena_CapSIS_B2_C_1_230859078451068928_3">'CCAR 9Q capital ratios'!$AA$35</definedName>
    <definedName name="_vena_CapSIS_B2_C_1_230859078451068928_4">'CCAR 9Q capital ratios'!$Q$35</definedName>
    <definedName name="_vena_CapSIS_B2_C_1_230859093835776000">'CCAR 9Q capital ratios'!$BF$35</definedName>
    <definedName name="_vena_CapSIS_B2_C_1_230859093835776000_1">'CCAR 9Q capital ratios'!$AV$35</definedName>
    <definedName name="_vena_CapSIS_B2_C_1_230859093835776000_2">'CCAR 9Q capital ratios'!$AL$35</definedName>
    <definedName name="_vena_CapSIS_B2_C_1_230859093835776000_3">'CCAR 9Q capital ratios'!$AB$35</definedName>
    <definedName name="_vena_CapSIS_B2_C_1_230859093835776000_4">'CCAR 9Q capital ratios'!$R$35</definedName>
    <definedName name="_vena_CapSIS_B2_C_1_248550486083371008">'CCAR 9Q capital ratios'!$BG$35</definedName>
    <definedName name="_vena_CapSIS_B2_C_1_248550486083371008_1">'CCAR 9Q capital ratios'!$AW$35</definedName>
    <definedName name="_vena_CapSIS_B2_C_1_248550486083371008_2">'CCAR 9Q capital ratios'!$AM$35</definedName>
    <definedName name="_vena_CapSIS_B2_C_1_248550486083371008_3">'CCAR 9Q capital ratios'!$AC$35</definedName>
    <definedName name="_vena_CapSIS_B2_C_1_248550486083371008_4">'CCAR 9Q capital ratios'!$S$35</definedName>
    <definedName name="_vena_CapSIS_B2_C_2_230860126356111360">'CCAR 9Q capital ratios'!$I$36</definedName>
    <definedName name="_vena_CapSIS_B2_C_2_230860226616754176">'CCAR 9Q capital ratios'!$K$36</definedName>
    <definedName name="_vena_CapSIS_B2_C_2_230860226616754176_1">'CCAR 9Q capital ratios'!$U$36</definedName>
    <definedName name="_vena_CapSIS_B2_C_2_230860226616754176_2">'CCAR 9Q capital ratios'!$AE$36</definedName>
    <definedName name="_vena_CapSIS_B2_C_2_230860226616754176_3">'CCAR 9Q capital ratios'!$AO$36</definedName>
    <definedName name="_vena_CapSIS_B2_C_2_230860226616754176_4">'CCAR 9Q capital ratios'!$AY$36</definedName>
    <definedName name="_vena_CapSIS_B2_C_2_230860237857488896">'CCAR 9Q capital ratios'!$L$36</definedName>
    <definedName name="_vena_CapSIS_B2_C_2_230860237857488896_1">'CCAR 9Q capital ratios'!$V$36</definedName>
    <definedName name="_vena_CapSIS_B2_C_2_230860237857488896_2">'CCAR 9Q capital ratios'!$AF$36</definedName>
    <definedName name="_vena_CapSIS_B2_C_2_230860237857488896_3">'CCAR 9Q capital ratios'!$AP$36</definedName>
    <definedName name="_vena_CapSIS_B2_C_2_230860237857488896_4">'CCAR 9Q capital ratios'!$AZ$36</definedName>
    <definedName name="_vena_CapSIS_B2_C_2_230860246497755136">'CCAR 9Q capital ratios'!$M$36</definedName>
    <definedName name="_vena_CapSIS_B2_C_2_230860246497755136_1">'CCAR 9Q capital ratios'!$W$36</definedName>
    <definedName name="_vena_CapSIS_B2_C_2_230860246497755136_2">'CCAR 9Q capital ratios'!$AG$36</definedName>
    <definedName name="_vena_CapSIS_B2_C_2_230860246497755136_3">'CCAR 9Q capital ratios'!$AQ$36</definedName>
    <definedName name="_vena_CapSIS_B2_C_2_230860246497755136_4">'CCAR 9Q capital ratios'!$BA$36</definedName>
    <definedName name="_vena_CapSIS_B2_C_2_230860256148848640">'CCAR 9Q capital ratios'!$N$36</definedName>
    <definedName name="_vena_CapSIS_B2_C_2_230860256148848640_1">'CCAR 9Q capital ratios'!$X$36</definedName>
    <definedName name="_vena_CapSIS_B2_C_2_230860256148848640_2">'CCAR 9Q capital ratios'!$AH$36</definedName>
    <definedName name="_vena_CapSIS_B2_C_2_230860256148848640_3">'CCAR 9Q capital ratios'!$AR$36</definedName>
    <definedName name="_vena_CapSIS_B2_C_2_230860256148848640_4">'CCAR 9Q capital ratios'!$BB$36</definedName>
    <definedName name="_vena_CapSIS_B2_C_2_230860293570428928">'CCAR 9Q capital ratios'!$O$36</definedName>
    <definedName name="_vena_CapSIS_B2_C_2_230860293570428928_1">'CCAR 9Q capital ratios'!$Y$36</definedName>
    <definedName name="_vena_CapSIS_B2_C_2_230860293570428928_2">'CCAR 9Q capital ratios'!$AI$36</definedName>
    <definedName name="_vena_CapSIS_B2_C_2_230860293570428928_3">'CCAR 9Q capital ratios'!$AS$36</definedName>
    <definedName name="_vena_CapSIS_B2_C_2_230860293570428928_4">'CCAR 9Q capital ratios'!$BC$36</definedName>
    <definedName name="_vena_CapSIS_B2_C_2_230860306308530176">'CCAR 9Q capital ratios'!$P$36</definedName>
    <definedName name="_vena_CapSIS_B2_C_2_230860306308530176_1">'CCAR 9Q capital ratios'!$Z$36</definedName>
    <definedName name="_vena_CapSIS_B2_C_2_230860306308530176_2">'CCAR 9Q capital ratios'!$AJ$36</definedName>
    <definedName name="_vena_CapSIS_B2_C_2_230860306308530176_3">'CCAR 9Q capital ratios'!$AT$36</definedName>
    <definedName name="_vena_CapSIS_B2_C_2_230860306308530176_4">'CCAR 9Q capital ratios'!$BD$36</definedName>
    <definedName name="_vena_CapSIS_B2_C_2_230860320749518848">'CCAR 9Q capital ratios'!$Q$36</definedName>
    <definedName name="_vena_CapSIS_B2_C_2_230860320749518848_1">'CCAR 9Q capital ratios'!$AA$36</definedName>
    <definedName name="_vena_CapSIS_B2_C_2_230860320749518848_2">'CCAR 9Q capital ratios'!$AK$36</definedName>
    <definedName name="_vena_CapSIS_B2_C_2_230860320749518848_3">'CCAR 9Q capital ratios'!$AU$36</definedName>
    <definedName name="_vena_CapSIS_B2_C_2_230860320749518848_4">'CCAR 9Q capital ratios'!$BE$36</definedName>
    <definedName name="_vena_CapSIS_B2_C_2_230860332363546624">'CCAR 9Q capital ratios'!$R$36</definedName>
    <definedName name="_vena_CapSIS_B2_C_2_230860332363546624_1">'CCAR 9Q capital ratios'!$AB$36</definedName>
    <definedName name="_vena_CapSIS_B2_C_2_230860332363546624_2">'CCAR 9Q capital ratios'!$AL$36</definedName>
    <definedName name="_vena_CapSIS_B2_C_2_230860332363546624_3">'CCAR 9Q capital ratios'!$AV$36</definedName>
    <definedName name="_vena_CapSIS_B2_C_2_230860332363546624_4">'CCAR 9Q capital ratios'!$BF$36</definedName>
    <definedName name="_vena_CapSIS_B2_C_2_230860342882861056">'CCAR 9Q capital ratios'!$S$36</definedName>
    <definedName name="_vena_CapSIS_B2_C_2_230860342882861056_1">'CCAR 9Q capital ratios'!$AC$36</definedName>
    <definedName name="_vena_CapSIS_B2_C_2_230860342882861056_2">'CCAR 9Q capital ratios'!$AM$36</definedName>
    <definedName name="_vena_CapSIS_B2_C_2_230860342882861056_3">'CCAR 9Q capital ratios'!$AW$36</definedName>
    <definedName name="_vena_CapSIS_B2_C_2_230860342882861056_4">'CCAR 9Q capital ratios'!$BG$36</definedName>
    <definedName name="_vena_CapSIS_B2_C_2_248614950019268608">'CCAR 9Q capital ratios'!$F$36</definedName>
    <definedName name="_vena_CapSIS_B2_C_2_248614950019268608_1">'CCAR 9Q capital ratios'!$G$36</definedName>
    <definedName name="_vena_CapSIS_B2_C_2_248614950019268608_2">'CCAR 9Q capital ratios'!$H$36</definedName>
    <definedName name="_vena_CapSIS_B2_C_3_230860830692999168">'CCAR 9Q capital ratios'!$I$33</definedName>
    <definedName name="_vena_CapSIS_B2_C_3_230860830692999168_1">'CCAR 9Q capital ratios'!$K$33</definedName>
    <definedName name="_vena_CapSIS_B2_C_3_230860830692999168_10">'CCAR 9Q capital ratios'!$U$33</definedName>
    <definedName name="_vena_CapSIS_B2_C_3_230860830692999168_11">'CCAR 9Q capital ratios'!$V$33</definedName>
    <definedName name="_vena_CapSIS_B2_C_3_230860830692999168_12">'CCAR 9Q capital ratios'!$W$33</definedName>
    <definedName name="_vena_CapSIS_B2_C_3_230860830692999168_13">'CCAR 9Q capital ratios'!$X$33</definedName>
    <definedName name="_vena_CapSIS_B2_C_3_230860830692999168_14">'CCAR 9Q capital ratios'!$Y$33</definedName>
    <definedName name="_vena_CapSIS_B2_C_3_230860830692999168_15">'CCAR 9Q capital ratios'!$Z$33</definedName>
    <definedName name="_vena_CapSIS_B2_C_3_230860830692999168_16">'CCAR 9Q capital ratios'!$AA$33</definedName>
    <definedName name="_vena_CapSIS_B2_C_3_230860830692999168_17">'CCAR 9Q capital ratios'!$AB$33</definedName>
    <definedName name="_vena_CapSIS_B2_C_3_230860830692999168_18">'CCAR 9Q capital ratios'!$AC$33</definedName>
    <definedName name="_vena_CapSIS_B2_C_3_230860830692999168_19">'CCAR 9Q capital ratios'!$AE$33</definedName>
    <definedName name="_vena_CapSIS_B2_C_3_230860830692999168_2">'CCAR 9Q capital ratios'!$L$33</definedName>
    <definedName name="_vena_CapSIS_B2_C_3_230860830692999168_20">'CCAR 9Q capital ratios'!$AF$33</definedName>
    <definedName name="_vena_CapSIS_B2_C_3_230860830692999168_21">'CCAR 9Q capital ratios'!$AG$33</definedName>
    <definedName name="_vena_CapSIS_B2_C_3_230860830692999168_22">'CCAR 9Q capital ratios'!$AH$33</definedName>
    <definedName name="_vena_CapSIS_B2_C_3_230860830692999168_23">'CCAR 9Q capital ratios'!$AI$33</definedName>
    <definedName name="_vena_CapSIS_B2_C_3_230860830692999168_24">'CCAR 9Q capital ratios'!$AJ$33</definedName>
    <definedName name="_vena_CapSIS_B2_C_3_230860830692999168_25">'CCAR 9Q capital ratios'!$AK$33</definedName>
    <definedName name="_vena_CapSIS_B2_C_3_230860830692999168_26">'CCAR 9Q capital ratios'!$AL$33</definedName>
    <definedName name="_vena_CapSIS_B2_C_3_230860830692999168_27">'CCAR 9Q capital ratios'!$AM$33</definedName>
    <definedName name="_vena_CapSIS_B2_C_3_230860830692999168_28">'CCAR 9Q capital ratios'!$AO$33</definedName>
    <definedName name="_vena_CapSIS_B2_C_3_230860830692999168_29">'CCAR 9Q capital ratios'!$AP$33</definedName>
    <definedName name="_vena_CapSIS_B2_C_3_230860830692999168_3">'CCAR 9Q capital ratios'!$M$33</definedName>
    <definedName name="_vena_CapSIS_B2_C_3_230860830692999168_30">'CCAR 9Q capital ratios'!$AQ$33</definedName>
    <definedName name="_vena_CapSIS_B2_C_3_230860830692999168_31">'CCAR 9Q capital ratios'!$AR$33</definedName>
    <definedName name="_vena_CapSIS_B2_C_3_230860830692999168_32">'CCAR 9Q capital ratios'!$AS$33</definedName>
    <definedName name="_vena_CapSIS_B2_C_3_230860830692999168_33">'CCAR 9Q capital ratios'!$AT$33</definedName>
    <definedName name="_vena_CapSIS_B2_C_3_230860830692999168_34">'CCAR 9Q capital ratios'!$AU$33</definedName>
    <definedName name="_vena_CapSIS_B2_C_3_230860830692999168_35">'CCAR 9Q capital ratios'!$AV$33</definedName>
    <definedName name="_vena_CapSIS_B2_C_3_230860830692999168_36">'CCAR 9Q capital ratios'!$AW$33</definedName>
    <definedName name="_vena_CapSIS_B2_C_3_230860830692999168_37">'CCAR 9Q capital ratios'!$AY$33</definedName>
    <definedName name="_vena_CapSIS_B2_C_3_230860830692999168_38">'CCAR 9Q capital ratios'!$AZ$33</definedName>
    <definedName name="_vena_CapSIS_B2_C_3_230860830692999168_39">'CCAR 9Q capital ratios'!$BA$33</definedName>
    <definedName name="_vena_CapSIS_B2_C_3_230860830692999168_4">'CCAR 9Q capital ratios'!$N$33</definedName>
    <definedName name="_vena_CapSIS_B2_C_3_230860830692999168_40">'CCAR 9Q capital ratios'!$BB$33</definedName>
    <definedName name="_vena_CapSIS_B2_C_3_230860830692999168_41">'CCAR 9Q capital ratios'!$BC$33</definedName>
    <definedName name="_vena_CapSIS_B2_C_3_230860830692999168_42">'CCAR 9Q capital ratios'!$BD$33</definedName>
    <definedName name="_vena_CapSIS_B2_C_3_230860830692999168_43">'CCAR 9Q capital ratios'!$BE$33</definedName>
    <definedName name="_vena_CapSIS_B2_C_3_230860830692999168_44">'CCAR 9Q capital ratios'!$BF$33</definedName>
    <definedName name="_vena_CapSIS_B2_C_3_230860830692999168_45">'CCAR 9Q capital ratios'!$BG$33</definedName>
    <definedName name="_vena_CapSIS_B2_C_3_230860830692999168_5">'CCAR 9Q capital ratios'!$O$33</definedName>
    <definedName name="_vena_CapSIS_B2_C_3_230860830692999168_6">'CCAR 9Q capital ratios'!$P$33</definedName>
    <definedName name="_vena_CapSIS_B2_C_3_230860830692999168_7">'CCAR 9Q capital ratios'!$Q$33</definedName>
    <definedName name="_vena_CapSIS_B2_C_3_230860830692999168_8">'CCAR 9Q capital ratios'!$R$33</definedName>
    <definedName name="_vena_CapSIS_B2_C_3_230860830692999168_9">'CCAR 9Q capital ratios'!$S$33</definedName>
    <definedName name="_vena_CapSIS_B2_C_3_230860959693012992">'CCAR 9Q capital ratios'!$F$33</definedName>
    <definedName name="_vena_CapSIS_B2_C_3_230860959693012992_1">'CCAR 9Q capital ratios'!$G$33</definedName>
    <definedName name="_vena_CapSIS_B2_C_3_230860959693012992_2">'CCAR 9Q capital ratios'!$H$33</definedName>
    <definedName name="_vena_CapSIS_B2_C_4_230862887281885184">'CCAR 9Q capital ratios'!$K$34</definedName>
    <definedName name="_vena_CapSIS_B2_C_4_230862887281885184_1">'CCAR 9Q capital ratios'!$L$34</definedName>
    <definedName name="_vena_CapSIS_B2_C_4_230862887281885184_2">'CCAR 9Q capital ratios'!$M$34</definedName>
    <definedName name="_vena_CapSIS_B2_C_4_230862887281885184_3">'CCAR 9Q capital ratios'!$N$34</definedName>
    <definedName name="_vena_CapSIS_B2_C_4_230862887281885184_4">'CCAR 9Q capital ratios'!$O$34</definedName>
    <definedName name="_vena_CapSIS_B2_C_4_230862887281885184_5">'CCAR 9Q capital ratios'!$P$34</definedName>
    <definedName name="_vena_CapSIS_B2_C_4_230862887281885184_6">'CCAR 9Q capital ratios'!$Q$34</definedName>
    <definedName name="_vena_CapSIS_B2_C_4_230862887281885184_7">'CCAR 9Q capital ratios'!$R$34</definedName>
    <definedName name="_vena_CapSIS_B2_C_4_230862887281885184_8">'CCAR 9Q capital ratios'!$S$34</definedName>
    <definedName name="_vena_CapSIS_B2_C_4_230862937282183168">'CCAR 9Q capital ratios'!$U$34</definedName>
    <definedName name="_vena_CapSIS_B2_C_4_230862937282183168_1">'CCAR 9Q capital ratios'!$V$34</definedName>
    <definedName name="_vena_CapSIS_B2_C_4_230862937282183168_2">'CCAR 9Q capital ratios'!$W$34</definedName>
    <definedName name="_vena_CapSIS_B2_C_4_230862937282183168_3">'CCAR 9Q capital ratios'!$X$34</definedName>
    <definedName name="_vena_CapSIS_B2_C_4_230862937282183168_4">'CCAR 9Q capital ratios'!$Y$34</definedName>
    <definedName name="_vena_CapSIS_B2_C_4_230862937282183168_5">'CCAR 9Q capital ratios'!$Z$34</definedName>
    <definedName name="_vena_CapSIS_B2_C_4_230862937282183168_6">'CCAR 9Q capital ratios'!$AA$34</definedName>
    <definedName name="_vena_CapSIS_B2_C_4_230862937282183168_7">'CCAR 9Q capital ratios'!$AB$34</definedName>
    <definedName name="_vena_CapSIS_B2_C_4_230862937282183168_8">'CCAR 9Q capital ratios'!$AC$34</definedName>
    <definedName name="_vena_CapSIS_B2_C_4_230862963278479360">'CCAR 9Q capital ratios'!$AE$34</definedName>
    <definedName name="_vena_CapSIS_B2_C_4_230862963278479360_1">'CCAR 9Q capital ratios'!$AF$34</definedName>
    <definedName name="_vena_CapSIS_B2_C_4_230862963278479360_2">'CCAR 9Q capital ratios'!$AG$34</definedName>
    <definedName name="_vena_CapSIS_B2_C_4_230862963278479360_3">'CCAR 9Q capital ratios'!$AH$34</definedName>
    <definedName name="_vena_CapSIS_B2_C_4_230862963278479360_4">'CCAR 9Q capital ratios'!$AI$34</definedName>
    <definedName name="_vena_CapSIS_B2_C_4_230862963278479360_5">'CCAR 9Q capital ratios'!$AJ$34</definedName>
    <definedName name="_vena_CapSIS_B2_C_4_230862963278479360_6">'CCAR 9Q capital ratios'!$AK$34</definedName>
    <definedName name="_vena_CapSIS_B2_C_4_230862963278479360_7">'CCAR 9Q capital ratios'!$AL$34</definedName>
    <definedName name="_vena_CapSIS_B2_C_4_230862963278479360_8">'CCAR 9Q capital ratios'!$AM$34</definedName>
    <definedName name="_vena_CapSIS_B2_C_4_230863001366953984">'CCAR 9Q capital ratios'!$AO$34</definedName>
    <definedName name="_vena_CapSIS_B2_C_4_230863001366953984_1">'CCAR 9Q capital ratios'!$AP$34</definedName>
    <definedName name="_vena_CapSIS_B2_C_4_230863001366953984_2">'CCAR 9Q capital ratios'!$AQ$34</definedName>
    <definedName name="_vena_CapSIS_B2_C_4_230863001366953984_3">'CCAR 9Q capital ratios'!$AR$34</definedName>
    <definedName name="_vena_CapSIS_B2_C_4_230863001366953984_4">'CCAR 9Q capital ratios'!$AS$34</definedName>
    <definedName name="_vena_CapSIS_B2_C_4_230863001366953984_5">'CCAR 9Q capital ratios'!$AT$34</definedName>
    <definedName name="_vena_CapSIS_B2_C_4_230863001366953984_6">'CCAR 9Q capital ratios'!$AU$34</definedName>
    <definedName name="_vena_CapSIS_B2_C_4_230863001366953984_7">'CCAR 9Q capital ratios'!$AV$34</definedName>
    <definedName name="_vena_CapSIS_B2_C_4_230863001366953984_8">'CCAR 9Q capital ratios'!$AW$34</definedName>
    <definedName name="_vena_CapSIS_B2_C_4_230863046111789056">'CCAR 9Q capital ratios'!$AY$34</definedName>
    <definedName name="_vena_CapSIS_B2_C_4_230863046111789056_1">'CCAR 9Q capital ratios'!$AZ$34</definedName>
    <definedName name="_vena_CapSIS_B2_C_4_230863046111789056_2">'CCAR 9Q capital ratios'!$BA$34</definedName>
    <definedName name="_vena_CapSIS_B2_C_4_230863046111789056_3">'CCAR 9Q capital ratios'!$BB$34</definedName>
    <definedName name="_vena_CapSIS_B2_C_4_230863046111789056_4">'CCAR 9Q capital ratios'!$BC$34</definedName>
    <definedName name="_vena_CapSIS_B2_C_4_230863046111789056_5">'CCAR 9Q capital ratios'!$BD$34</definedName>
    <definedName name="_vena_CapSIS_B2_C_4_230863046111789056_6">'CCAR 9Q capital ratios'!$BE$34</definedName>
    <definedName name="_vena_CapSIS_B2_C_4_230863046111789056_7">'CCAR 9Q capital ratios'!$BF$34</definedName>
    <definedName name="_vena_CapSIS_B2_C_4_230863046111789056_8">'CCAR 9Q capital ratios'!$BG$34</definedName>
    <definedName name="_vena_CapSIS_B2_C_4_230863071093063680">'CCAR 9Q capital ratios'!$F$34</definedName>
    <definedName name="_vena_CapSIS_B2_C_4_230863071093063680_1">'CCAR 9Q capital ratios'!$G$34</definedName>
    <definedName name="_vena_CapSIS_B2_C_4_230863071093063680_2">'CCAR 9Q capital ratios'!$H$34</definedName>
    <definedName name="_vena_CapSIS_B2_C_4_230863071093063680_3">'CCAR 9Q capital ratios'!$I$34</definedName>
    <definedName name="_vena_CapSIS_B2_C_FV_6053e8fe227041fcbe8015c4f16779fe">'CCAR 9Q capital ratios'!$F$32</definedName>
    <definedName name="_vena_CapSIS_B2_C_FV_6053e8fe227041fcbe8015c4f16779fe_1">'CCAR 9Q capital ratios'!$G$32</definedName>
    <definedName name="_vena_CapSIS_B2_C_FV_6053e8fe227041fcbe8015c4f16779fe_10">'CCAR 9Q capital ratios'!$Q$32</definedName>
    <definedName name="_vena_CapSIS_B2_C_FV_6053e8fe227041fcbe8015c4f16779fe_11">'CCAR 9Q capital ratios'!$R$32</definedName>
    <definedName name="_vena_CapSIS_B2_C_FV_6053e8fe227041fcbe8015c4f16779fe_12">'CCAR 9Q capital ratios'!$S$32</definedName>
    <definedName name="_vena_CapSIS_B2_C_FV_6053e8fe227041fcbe8015c4f16779fe_13">'CCAR 9Q capital ratios'!$U$32</definedName>
    <definedName name="_vena_CapSIS_B2_C_FV_6053e8fe227041fcbe8015c4f16779fe_14">'CCAR 9Q capital ratios'!$V$32</definedName>
    <definedName name="_vena_CapSIS_B2_C_FV_6053e8fe227041fcbe8015c4f16779fe_15">'CCAR 9Q capital ratios'!$W$32</definedName>
    <definedName name="_vena_CapSIS_B2_C_FV_6053e8fe227041fcbe8015c4f16779fe_16">'CCAR 9Q capital ratios'!$X$32</definedName>
    <definedName name="_vena_CapSIS_B2_C_FV_6053e8fe227041fcbe8015c4f16779fe_17">'CCAR 9Q capital ratios'!$Y$32</definedName>
    <definedName name="_vena_CapSIS_B2_C_FV_6053e8fe227041fcbe8015c4f16779fe_18">'CCAR 9Q capital ratios'!$Z$32</definedName>
    <definedName name="_vena_CapSIS_B2_C_FV_6053e8fe227041fcbe8015c4f16779fe_19">'CCAR 9Q capital ratios'!$AA$32</definedName>
    <definedName name="_vena_CapSIS_B2_C_FV_6053e8fe227041fcbe8015c4f16779fe_2">'CCAR 9Q capital ratios'!$H$32</definedName>
    <definedName name="_vena_CapSIS_B2_C_FV_6053e8fe227041fcbe8015c4f16779fe_20">'CCAR 9Q capital ratios'!$AB$32</definedName>
    <definedName name="_vena_CapSIS_B2_C_FV_6053e8fe227041fcbe8015c4f16779fe_21">'CCAR 9Q capital ratios'!$AC$32</definedName>
    <definedName name="_vena_CapSIS_B2_C_FV_6053e8fe227041fcbe8015c4f16779fe_22">'CCAR 9Q capital ratios'!$AE$32</definedName>
    <definedName name="_vena_CapSIS_B2_C_FV_6053e8fe227041fcbe8015c4f16779fe_23">'CCAR 9Q capital ratios'!$AF$32</definedName>
    <definedName name="_vena_CapSIS_B2_C_FV_6053e8fe227041fcbe8015c4f16779fe_24">'CCAR 9Q capital ratios'!$AG$32</definedName>
    <definedName name="_vena_CapSIS_B2_C_FV_6053e8fe227041fcbe8015c4f16779fe_25">'CCAR 9Q capital ratios'!$AH$32</definedName>
    <definedName name="_vena_CapSIS_B2_C_FV_6053e8fe227041fcbe8015c4f16779fe_26">'CCAR 9Q capital ratios'!$AI$32</definedName>
    <definedName name="_vena_CapSIS_B2_C_FV_6053e8fe227041fcbe8015c4f16779fe_27">'CCAR 9Q capital ratios'!$AJ$32</definedName>
    <definedName name="_vena_CapSIS_B2_C_FV_6053e8fe227041fcbe8015c4f16779fe_28">'CCAR 9Q capital ratios'!$AK$32</definedName>
    <definedName name="_vena_CapSIS_B2_C_FV_6053e8fe227041fcbe8015c4f16779fe_29">'CCAR 9Q capital ratios'!$AL$32</definedName>
    <definedName name="_vena_CapSIS_B2_C_FV_6053e8fe227041fcbe8015c4f16779fe_3">'CCAR 9Q capital ratios'!$I$32</definedName>
    <definedName name="_vena_CapSIS_B2_C_FV_6053e8fe227041fcbe8015c4f16779fe_30">'CCAR 9Q capital ratios'!$AM$32</definedName>
    <definedName name="_vena_CapSIS_B2_C_FV_6053e8fe227041fcbe8015c4f16779fe_31">'CCAR 9Q capital ratios'!$AO$32</definedName>
    <definedName name="_vena_CapSIS_B2_C_FV_6053e8fe227041fcbe8015c4f16779fe_32">'CCAR 9Q capital ratios'!$AP$32</definedName>
    <definedName name="_vena_CapSIS_B2_C_FV_6053e8fe227041fcbe8015c4f16779fe_33">'CCAR 9Q capital ratios'!$AQ$32</definedName>
    <definedName name="_vena_CapSIS_B2_C_FV_6053e8fe227041fcbe8015c4f16779fe_34">'CCAR 9Q capital ratios'!$AR$32</definedName>
    <definedName name="_vena_CapSIS_B2_C_FV_6053e8fe227041fcbe8015c4f16779fe_35">'CCAR 9Q capital ratios'!$AS$32</definedName>
    <definedName name="_vena_CapSIS_B2_C_FV_6053e8fe227041fcbe8015c4f16779fe_36">'CCAR 9Q capital ratios'!$AT$32</definedName>
    <definedName name="_vena_CapSIS_B2_C_FV_6053e8fe227041fcbe8015c4f16779fe_37">'CCAR 9Q capital ratios'!$AU$32</definedName>
    <definedName name="_vena_CapSIS_B2_C_FV_6053e8fe227041fcbe8015c4f16779fe_38">'CCAR 9Q capital ratios'!$AV$32</definedName>
    <definedName name="_vena_CapSIS_B2_C_FV_6053e8fe227041fcbe8015c4f16779fe_39">'CCAR 9Q capital ratios'!$AW$32</definedName>
    <definedName name="_vena_CapSIS_B2_C_FV_6053e8fe227041fcbe8015c4f16779fe_4">'CCAR 9Q capital ratios'!$K$32</definedName>
    <definedName name="_vena_CapSIS_B2_C_FV_6053e8fe227041fcbe8015c4f16779fe_40">'CCAR 9Q capital ratios'!$AY$32</definedName>
    <definedName name="_vena_CapSIS_B2_C_FV_6053e8fe227041fcbe8015c4f16779fe_41">'CCAR 9Q capital ratios'!$AZ$32</definedName>
    <definedName name="_vena_CapSIS_B2_C_FV_6053e8fe227041fcbe8015c4f16779fe_42">'CCAR 9Q capital ratios'!$BA$32</definedName>
    <definedName name="_vena_CapSIS_B2_C_FV_6053e8fe227041fcbe8015c4f16779fe_43">'CCAR 9Q capital ratios'!$BB$32</definedName>
    <definedName name="_vena_CapSIS_B2_C_FV_6053e8fe227041fcbe8015c4f16779fe_44">'CCAR 9Q capital ratios'!$BC$32</definedName>
    <definedName name="_vena_CapSIS_B2_C_FV_6053e8fe227041fcbe8015c4f16779fe_45">'CCAR 9Q capital ratios'!$BD$32</definedName>
    <definedName name="_vena_CapSIS_B2_C_FV_6053e8fe227041fcbe8015c4f16779fe_46">'CCAR 9Q capital ratios'!$BE$32</definedName>
    <definedName name="_vena_CapSIS_B2_C_FV_6053e8fe227041fcbe8015c4f16779fe_47">'CCAR 9Q capital ratios'!$BF$32</definedName>
    <definedName name="_vena_CapSIS_B2_C_FV_6053e8fe227041fcbe8015c4f16779fe_48">'CCAR 9Q capital ratios'!$BG$32</definedName>
    <definedName name="_vena_CapSIS_B2_C_FV_6053e8fe227041fcbe8015c4f16779fe_5">'CCAR 9Q capital ratios'!$L$32</definedName>
    <definedName name="_vena_CapSIS_B2_C_FV_6053e8fe227041fcbe8015c4f16779fe_6">'CCAR 9Q capital ratios'!$M$32</definedName>
    <definedName name="_vena_CapSIS_B2_C_FV_6053e8fe227041fcbe8015c4f16779fe_7">'CCAR 9Q capital ratios'!$N$32</definedName>
    <definedName name="_vena_CapSIS_B2_C_FV_6053e8fe227041fcbe8015c4f16779fe_8">'CCAR 9Q capital ratios'!$O$32</definedName>
    <definedName name="_vena_CapSIS_B2_C_FV_6053e8fe227041fcbe8015c4f16779fe_9">'CCAR 9Q capital ratios'!$P$32</definedName>
    <definedName name="_vena_CapSIS_B2_R_6_248210771212894209">'CCAR 9Q capital ratios'!$B$39</definedName>
    <definedName name="_vena_CapSIS_B2_R_6_248210771221282817">'CCAR 9Q capital ratios'!$B$40</definedName>
    <definedName name="_vena_CapSIS_B2_R_6_248210771225477121">'CCAR 9Q capital ratios'!$B$41</definedName>
    <definedName name="_vena_CapSIS_B2_R_6_248210771229671425">'CCAR 9Q capital ratios'!$B$42</definedName>
    <definedName name="_vena_CapSIS_B2_R_6_248210771242254337">'CCAR 9Q capital ratios'!$B$47</definedName>
    <definedName name="_vena_CapSIS_B2_R_6_248210771246448641">'CCAR 9Q capital ratios'!$B$48</definedName>
    <definedName name="_vena_CapSIS_B2_R_6_248210771250642945">'CCAR 9Q capital ratios'!$B$49</definedName>
    <definedName name="_vena_CapSIS_B2_R_6_248210771254837249">'CCAR 9Q capital ratios'!$B$51</definedName>
    <definedName name="_vena_CapSIS_B2_R_6_248210771259031553">'CCAR 9Q capital ratios'!$B$52</definedName>
    <definedName name="_vena_CapSIS_B2_R_6_248210771267420161">'CCAR 9Q capital ratios'!$B$53</definedName>
    <definedName name="_vena_CapSIS_B2_R_6_248210771271614465">'CCAR 9Q capital ratios'!$B$54</definedName>
    <definedName name="_vena_CapSIS_B2_R_6_248210771275808769">'CCAR 9Q capital ratios'!$B$55</definedName>
    <definedName name="_vena_CapSIS_B2_R_6_248210771280003073">'CCAR 9Q capital ratios'!$B$57</definedName>
    <definedName name="_vena_CapSIS_B2_R_6_248210771288391681">'CCAR 9Q capital ratios'!$B$58</definedName>
    <definedName name="_vena_CapSIS_B2_R_6_248210771292585985">'CCAR 9Q capital ratios'!$B$59</definedName>
    <definedName name="_vena_CapSIS_B2_R_6_248210771296780289">'CCAR 9Q capital ratios'!$B$60</definedName>
    <definedName name="_vena_CapSIS_B2_R_6_248210771305168897">'CCAR 9Q capital ratios'!$B$62</definedName>
    <definedName name="_vena_CapSIS_B2_R_6_248210771305168897_1">'CCAR 9Q capital ratios'!$B$104</definedName>
    <definedName name="_vena_CapSIS_B2_R_6_248210771313557505">'CCAR 9Q capital ratios'!$B$63</definedName>
    <definedName name="_vena_CapSIS_B2_R_6_248210771313557505_1">'CCAR 9Q capital ratios'!$B$111</definedName>
    <definedName name="_vena_CapSIS_B2_R_6_248210771317751809">'CCAR 9Q capital ratios'!$B$64</definedName>
    <definedName name="_vena_CapSIS_B2_R_6_248210771317751809_1">'CCAR 9Q capital ratios'!$B$116</definedName>
    <definedName name="_vena_CapSIS_B2_R_6_248210771321946113">'CCAR 9Q capital ratios'!$B$123</definedName>
    <definedName name="_vena_CapSIS_B2_R_6_248210771326140417">'CCAR 9Q capital ratios'!$B$66</definedName>
    <definedName name="_vena_CapSIS_B2_R_6_248210771342917633">'CCAR 9Q capital ratios'!$B$71</definedName>
    <definedName name="_vena_CapSIS_B2_R_6_248210771347111937">'CCAR 9Q capital ratios'!$B$72</definedName>
    <definedName name="_vena_CapSIS_B2_R_6_248210771351306241">'CCAR 9Q capital ratios'!$B$73</definedName>
    <definedName name="_vena_CapSIS_B2_R_6_248210771363889153">'CCAR 9Q capital ratios'!$B$75</definedName>
    <definedName name="_vena_CapSIS_B2_R_6_248210771376472065">'CCAR 9Q capital ratios'!$B$82</definedName>
    <definedName name="_vena_CapSIS_B2_R_6_248210771380666369">'CCAR 9Q capital ratios'!$B$83</definedName>
    <definedName name="_vena_CapSIS_B2_R_6_248210771389054977">'CCAR 9Q capital ratios'!$B$84</definedName>
    <definedName name="_vena_CapSIS_B2_R_6_248210771393249281">'CCAR 9Q capital ratios'!$B$85</definedName>
    <definedName name="_vena_CapSIS_B2_R_6_248210771401637889">'CCAR 9Q capital ratios'!$B$87</definedName>
    <definedName name="_vena_CapSIS_B2_R_6_248210771418415105">'CCAR 9Q capital ratios'!$B$90</definedName>
    <definedName name="_vena_CapSIS_B2_R_6_248210771439386625">'CCAR 9Q capital ratios'!$B$135</definedName>
    <definedName name="_vena_CapSIS_B2_R_6_248210771443580929">'CCAR 9Q capital ratios'!$B$100</definedName>
    <definedName name="_vena_CapSIS_B2_R_6_248210771447775233">'CCAR 9Q capital ratios'!$B$101</definedName>
    <definedName name="_vena_CapSIS_B2_R_6_248210771451969537">'CCAR 9Q capital ratios'!$B$102</definedName>
    <definedName name="_vena_CapSIS_B2_R_6_248210771456163841">'CCAR 9Q capital ratios'!$B$103</definedName>
    <definedName name="_vena_CapSIS_B2_R_6_248210771456163841_1">'CCAR 9Q capital ratios'!$B$110</definedName>
    <definedName name="_vena_CapSIS_B2_R_6_248210771456163841_2">'CCAR 9Q capital ratios'!$B$115</definedName>
    <definedName name="_vena_CapSIS_B2_R_6_248210771464552449">'CCAR 9Q capital ratios'!$B$107</definedName>
    <definedName name="_vena_CapSIS_B2_R_6_248210771468746753">'CCAR 9Q capital ratios'!$B$108</definedName>
    <definedName name="_vena_CapSIS_B2_R_6_248210771472941057">'CCAR 9Q capital ratios'!$B$109</definedName>
    <definedName name="_vena_CapSIS_B2_R_6_248210771477135361">'CCAR 9Q capital ratios'!$B$114</definedName>
    <definedName name="_vena_CapSIS_B2_R_6_248210771485523969">'CCAR 9Q capital ratios'!$B$119</definedName>
    <definedName name="_vena_CapSIS_B2_R_6_248210771489718273">'CCAR 9Q capital ratios'!$B$120</definedName>
    <definedName name="_vena_CapSIS_B2_R_6_248210771493912577">'CCAR 9Q capital ratios'!$B$121</definedName>
    <definedName name="_vena_CapSIS_B2_R_6_248210771498106881">'CCAR 9Q capital ratios'!$B$122</definedName>
    <definedName name="_vena_CapSIS_B2_R_6_248210771506495488">'CCAR 9Q capital ratios'!$B$126</definedName>
    <definedName name="_vena_CapSIS_B2_R_6_248210771510689793">'CCAR 9Q capital ratios'!$B$127</definedName>
    <definedName name="_vena_CapSIS_B2_R_6_248210771514884097">'CCAR 9Q capital ratios'!$B$128</definedName>
    <definedName name="_vena_CapSIS_B2_R_6_248210771535855617">'CCAR 9Q capital ratios'!$B$136</definedName>
    <definedName name="_vena_CapSIS_B2_R_6_248210771540049921">'CCAR 9Q capital ratios'!$B$137</definedName>
    <definedName name="_vena_CapSIS_B2_R_6_248210771544244225">'CCAR 9Q capital ratios'!$B$138</definedName>
    <definedName name="_vena_CapSIS_B2_R_6_248210771556827137">'CCAR 9Q capital ratios'!$B$140</definedName>
    <definedName name="_vena_CapSIS_B2_R_6_248210771561021441">'CCAR 9Q capital ratios'!$B$141</definedName>
    <definedName name="_vena_CapSIS_B2_R_6_248210771565215745">'CCAR 9Q capital ratios'!$B$142</definedName>
    <definedName name="_vena_CapSIS_B2_R_6_248210771573604352">'CCAR 9Q capital ratios'!$B$143</definedName>
    <definedName name="_vena_CapSIS_B2_R_6_248210771577798657">'CCAR 9Q capital ratios'!$B$144</definedName>
    <definedName name="_vena_CapSIS_B2_R_6_248210771581992961">'CCAR 9Q capital ratios'!$B$145</definedName>
    <definedName name="_vena_CapSIS_B2_R_6_248210771586187265">'CCAR 9Q capital ratios'!$B$146</definedName>
    <definedName name="_vena_CapSIS_B2_R_6_266768037674614784">'CCAR 9Q capital ratios'!$B$95</definedName>
    <definedName name="_vena_CapSIS_B2_R_6_266768037674614784_1">'CCAR 9Q capital ratios'!$B$134</definedName>
    <definedName name="_vena_CapSIS_B2_R_6_266769003396595712">'CCAR 9Q capital ratios'!$B$79</definedName>
    <definedName name="_vena_CapSIS_B2_R_6_266769003396595712_1">'CCAR 9Q capital ratios'!$B$133</definedName>
    <definedName name="_vena_CapSIS_B2_R_6_266769057523564544">'CCAR 9Q capital ratios'!$B$91</definedName>
    <definedName name="_vena_CapSIS_B2_R_6_266769210523648000">'CCAR 9Q capital ratios'!$B$68</definedName>
    <definedName name="_vena_CapSIS_B2_R_6_266769210523648000_1">'CCAR 9Q capital ratios'!$B$132</definedName>
    <definedName name="_vena_CapSIS_B2_R_6_266769240000954368">'CCAR 9Q capital ratios'!$B$76</definedName>
    <definedName name="_vena_CapSIS_B2_R_6_266769480632893440">'CCAR 9Q capital ratios'!$B$61</definedName>
    <definedName name="_vena_CapSIS_B2_R_6_266769761273774080">'CCAR 9Q capital ratios'!$B$67</definedName>
    <definedName name="_vena_CapSIS_B2_R_6_266771225748307976">'CCAR 9Q capital ratios'!$B$43</definedName>
    <definedName name="_vena_CapSIS_B2_R_6_266776294786727936">'CCAR 9Q capital ratios'!$B$74</definedName>
    <definedName name="_vena_CapSIS_B2_R_6_266777560057774080">'CCAR 9Q capital ratios'!$B$88</definedName>
    <definedName name="_vena_CapSIS_B2_R_6_266782491321827328">'CCAR 9Q capital ratios'!$B$129</definedName>
    <definedName name="_vena_CapSIS_B2_R_9_273914228170817536">'CCAR 9Q capital ratios'!$BI$39</definedName>
    <definedName name="_vena_CapSIS_B2_R_9_273914228170817536_1">'CCAR 9Q capital ratios'!$BI$40</definedName>
    <definedName name="_vena_CapSIS_B2_R_9_273914228170817536_10">'CCAR 9Q capital ratios'!$BI$53</definedName>
    <definedName name="_vena_CapSIS_B2_R_9_273914228170817536_11">'CCAR 9Q capital ratios'!$BI$54</definedName>
    <definedName name="_vena_CapSIS_B2_R_9_273914228170817536_12">'CCAR 9Q capital ratios'!$BI$55</definedName>
    <definedName name="_vena_CapSIS_B2_R_9_273914228170817536_13">'CCAR 9Q capital ratios'!$BI$57</definedName>
    <definedName name="_vena_CapSIS_B2_R_9_273914228170817536_14">'CCAR 9Q capital ratios'!$BI$58</definedName>
    <definedName name="_vena_CapSIS_B2_R_9_273914228170817536_15">'CCAR 9Q capital ratios'!$BI$59</definedName>
    <definedName name="_vena_CapSIS_B2_R_9_273914228170817536_16">'CCAR 9Q capital ratios'!$BI$60</definedName>
    <definedName name="_vena_CapSIS_B2_R_9_273914228170817536_17">'CCAR 9Q capital ratios'!$BI$61</definedName>
    <definedName name="_vena_CapSIS_B2_R_9_273914228170817536_18">'CCAR 9Q capital ratios'!$BI$62</definedName>
    <definedName name="_vena_CapSIS_B2_R_9_273914228170817536_19">'CCAR 9Q capital ratios'!$BI$63</definedName>
    <definedName name="_vena_CapSIS_B2_R_9_273914228170817536_2">'CCAR 9Q capital ratios'!$BI$41</definedName>
    <definedName name="_vena_CapSIS_B2_R_9_273914228170817536_20">'CCAR 9Q capital ratios'!$BI$64</definedName>
    <definedName name="_vena_CapSIS_B2_R_9_273914228170817536_21">'CCAR 9Q capital ratios'!$BI$66</definedName>
    <definedName name="_vena_CapSIS_B2_R_9_273914228170817536_22">'CCAR 9Q capital ratios'!$BI$67</definedName>
    <definedName name="_vena_CapSIS_B2_R_9_273914228170817536_23">'CCAR 9Q capital ratios'!$BI$68</definedName>
    <definedName name="_vena_CapSIS_B2_R_9_273914228170817536_24">'CCAR 9Q capital ratios'!$BI$71</definedName>
    <definedName name="_vena_CapSIS_B2_R_9_273914228170817536_25">'CCAR 9Q capital ratios'!$BI$72</definedName>
    <definedName name="_vena_CapSIS_B2_R_9_273914228170817536_26">'CCAR 9Q capital ratios'!$BI$73</definedName>
    <definedName name="_vena_CapSIS_B2_R_9_273914228170817536_27">'CCAR 9Q capital ratios'!$BI$74</definedName>
    <definedName name="_vena_CapSIS_B2_R_9_273914228170817536_28">'CCAR 9Q capital ratios'!$BI$75</definedName>
    <definedName name="_vena_CapSIS_B2_R_9_273914228170817536_29">'CCAR 9Q capital ratios'!$BI$76</definedName>
    <definedName name="_vena_CapSIS_B2_R_9_273914228170817536_3">'CCAR 9Q capital ratios'!$BI$42</definedName>
    <definedName name="_vena_CapSIS_B2_R_9_273914228170817536_30">'CCAR 9Q capital ratios'!$BI$79</definedName>
    <definedName name="_vena_CapSIS_B2_R_9_273914228170817536_31">'CCAR 9Q capital ratios'!$BI$82</definedName>
    <definedName name="_vena_CapSIS_B2_R_9_273914228170817536_32">'CCAR 9Q capital ratios'!$BI$83</definedName>
    <definedName name="_vena_CapSIS_B2_R_9_273914228170817536_33">'CCAR 9Q capital ratios'!$BI$84</definedName>
    <definedName name="_vena_CapSIS_B2_R_9_273914228170817536_34">'CCAR 9Q capital ratios'!$BI$85</definedName>
    <definedName name="_vena_CapSIS_B2_R_9_273914228170817536_35">'CCAR 9Q capital ratios'!$BI$87</definedName>
    <definedName name="_vena_CapSIS_B2_R_9_273914228170817536_36">'CCAR 9Q capital ratios'!$BI$88</definedName>
    <definedName name="_vena_CapSIS_B2_R_9_273914228170817536_37">'CCAR 9Q capital ratios'!$BI$90</definedName>
    <definedName name="_vena_CapSIS_B2_R_9_273914228170817536_38">'CCAR 9Q capital ratios'!$BI$91</definedName>
    <definedName name="_vena_CapSIS_B2_R_9_273914228170817536_39">'CCAR 9Q capital ratios'!$BI$95</definedName>
    <definedName name="_vena_CapSIS_B2_R_9_273914228170817536_4">'CCAR 9Q capital ratios'!$BI$43</definedName>
    <definedName name="_vena_CapSIS_B2_R_9_273914228170817536_40">'CCAR 9Q capital ratios'!$BI$100</definedName>
    <definedName name="_vena_CapSIS_B2_R_9_273914228170817536_41">'CCAR 9Q capital ratios'!$BI$101</definedName>
    <definedName name="_vena_CapSIS_B2_R_9_273914228170817536_42">'CCAR 9Q capital ratios'!$BI$102</definedName>
    <definedName name="_vena_CapSIS_B2_R_9_273914228170817536_43">'CCAR 9Q capital ratios'!$BI$103</definedName>
    <definedName name="_vena_CapSIS_B2_R_9_273914228170817536_44">'CCAR 9Q capital ratios'!$BI$104</definedName>
    <definedName name="_vena_CapSIS_B2_R_9_273914228170817536_45">'CCAR 9Q capital ratios'!$BI$107</definedName>
    <definedName name="_vena_CapSIS_B2_R_9_273914228170817536_46">'CCAR 9Q capital ratios'!$BI$108</definedName>
    <definedName name="_vena_CapSIS_B2_R_9_273914228170817536_47">'CCAR 9Q capital ratios'!$BI$109</definedName>
    <definedName name="_vena_CapSIS_B2_R_9_273914228170817536_48">'CCAR 9Q capital ratios'!$BI$110</definedName>
    <definedName name="_vena_CapSIS_B2_R_9_273914228170817536_49">'CCAR 9Q capital ratios'!$BI$111</definedName>
    <definedName name="_vena_CapSIS_B2_R_9_273914228170817536_5">'CCAR 9Q capital ratios'!$BI$47</definedName>
    <definedName name="_vena_CapSIS_B2_R_9_273914228170817536_50">'CCAR 9Q capital ratios'!$BI$114</definedName>
    <definedName name="_vena_CapSIS_B2_R_9_273914228170817536_51">'CCAR 9Q capital ratios'!$BI$115</definedName>
    <definedName name="_vena_CapSIS_B2_R_9_273914228170817536_52">'CCAR 9Q capital ratios'!$BI$116</definedName>
    <definedName name="_vena_CapSIS_B2_R_9_273914228170817536_53">'CCAR 9Q capital ratios'!$BI$119</definedName>
    <definedName name="_vena_CapSIS_B2_R_9_273914228170817536_54">'CCAR 9Q capital ratios'!$BI$120</definedName>
    <definedName name="_vena_CapSIS_B2_R_9_273914228170817536_55">'CCAR 9Q capital ratios'!$BI$121</definedName>
    <definedName name="_vena_CapSIS_B2_R_9_273914228170817536_56">'CCAR 9Q capital ratios'!$BI$122</definedName>
    <definedName name="_vena_CapSIS_B2_R_9_273914228170817536_57">'CCAR 9Q capital ratios'!$BI$123</definedName>
    <definedName name="_vena_CapSIS_B2_R_9_273914228170817536_58">'CCAR 9Q capital ratios'!$BI$126</definedName>
    <definedName name="_vena_CapSIS_B2_R_9_273914228170817536_59">'CCAR 9Q capital ratios'!$BI$127</definedName>
    <definedName name="_vena_CapSIS_B2_R_9_273914228170817536_6">'CCAR 9Q capital ratios'!$BI$48</definedName>
    <definedName name="_vena_CapSIS_B2_R_9_273914228170817536_60">'CCAR 9Q capital ratios'!$BI$128</definedName>
    <definedName name="_vena_CapSIS_B2_R_9_273914228170817536_61">'CCAR 9Q capital ratios'!$BI$129</definedName>
    <definedName name="_vena_CapSIS_B2_R_9_273914228170817536_62">'CCAR 9Q capital ratios'!$BI$132</definedName>
    <definedName name="_vena_CapSIS_B2_R_9_273914228170817536_63">'CCAR 9Q capital ratios'!$BI$133</definedName>
    <definedName name="_vena_CapSIS_B2_R_9_273914228170817536_64">'CCAR 9Q capital ratios'!$BI$134</definedName>
    <definedName name="_vena_CapSIS_B2_R_9_273914228170817536_65">'CCAR 9Q capital ratios'!$BI$135</definedName>
    <definedName name="_vena_CapSIS_B2_R_9_273914228170817536_66">'CCAR 9Q capital ratios'!$BI$136</definedName>
    <definedName name="_vena_CapSIS_B2_R_9_273914228170817536_67">'CCAR 9Q capital ratios'!$BI$137</definedName>
    <definedName name="_vena_CapSIS_B2_R_9_273914228170817536_68">'CCAR 9Q capital ratios'!$BI$138</definedName>
    <definedName name="_vena_CapSIS_B2_R_9_273914228170817536_69">'CCAR 9Q capital ratios'!$BI$140</definedName>
    <definedName name="_vena_CapSIS_B2_R_9_273914228170817536_7">'CCAR 9Q capital ratios'!$BI$49</definedName>
    <definedName name="_vena_CapSIS_B2_R_9_273914228170817536_70">'CCAR 9Q capital ratios'!$BI$141</definedName>
    <definedName name="_vena_CapSIS_B2_R_9_273914228170817536_71">'CCAR 9Q capital ratios'!$BI$142</definedName>
    <definedName name="_vena_CapSIS_B2_R_9_273914228170817536_72">'CCAR 9Q capital ratios'!$BI$143</definedName>
    <definedName name="_vena_CapSIS_B2_R_9_273914228170817536_73">'CCAR 9Q capital ratios'!$BI$144</definedName>
    <definedName name="_vena_CapSIS_B2_R_9_273914228170817536_74">'CCAR 9Q capital ratios'!$BI$145</definedName>
    <definedName name="_vena_CapSIS_B2_R_9_273914228170817536_75">'CCAR 9Q capital ratios'!$BI$146</definedName>
    <definedName name="_vena_CapSIS_B2_R_9_273914228170817536_8">'CCAR 9Q capital ratios'!$BI$51</definedName>
    <definedName name="_vena_CapSIS_B2_R_9_273914228170817536_9">'CCAR 9Q capital ratios'!$BI$52</definedName>
    <definedName name="_vena_CapSIS_P_7_230871350242312192" comment="*">'CCAR 9Q capital ratios'!$E$5</definedName>
    <definedName name="_vena_CapSIS_P_8_230873481838067712" comment="*">'CCAR 9Q capital ratios'!$E$4</definedName>
    <definedName name="_vena_UserSelectCapitalSIS_P_5_261628056303828992" comment="*">'CCAR 9Q capital ratios'!$E$2</definedName>
    <definedName name="ExcepcionesFin2">#REF!</definedName>
    <definedName name="ExcepcionesFormulas2">#REF!</definedName>
    <definedName name="fecha">INDIRECT('[1]Resultados Test1'!$M$44)</definedName>
    <definedName name="limpio">INDIRECT('[1]Resultados Test1'!$M$42)</definedName>
    <definedName name="limpiootro">INDIRECT('[1]Resultados Test1'!$M$49)</definedName>
    <definedName name="NumFilas">[1]Report1!$A$57:$A$81</definedName>
    <definedName name="NumFilas2">#REF!</definedName>
    <definedName name="_xlnm.Print_Area" localSheetId="0">'CCAR 9Q capital ratios'!$C$7:$BH$146</definedName>
    <definedName name="_xlnm.Print_Titles" localSheetId="0">'CCAR 9Q capital ratios'!$C:$J,'CCAR 9Q capital ratios'!$7:$10</definedName>
    <definedName name="scenario">'[2]Summary Submission Cover Sheet'!$B$20</definedName>
    <definedName name="scenario_adverse">'[2]Summary Submission Cover Sheet'!$A$30</definedName>
    <definedName name="scenario_baseline">'[2]Summary Submission Cover Sheet'!$A$29</definedName>
    <definedName name="scenario_severe">'[2]Summary Submission Cover Sheet'!$A$31</definedName>
    <definedName name="sucio">INDIRECT('[1]Resultados Test1'!$M$43)</definedName>
    <definedName name="vae">INDIRECT('[1]Resultados Test1'!$M$41)</definedName>
    <definedName name="var">INDIRECT('[1]Resultados Test1'!$M$40)</definedName>
  </definedNames>
  <calcPr calcId="145621" calcMode="manual" calcCompleted="0" calcOnSave="0"/>
</workbook>
</file>

<file path=xl/calcChain.xml><?xml version="1.0" encoding="utf-8"?>
<calcChain xmlns="http://schemas.openxmlformats.org/spreadsheetml/2006/main">
  <c r="O70" i="6" l="1"/>
  <c r="K92" i="4" l="1"/>
  <c r="K91" i="4"/>
  <c r="I91" i="4"/>
  <c r="L91" i="4" s="1"/>
  <c r="R85" i="4"/>
  <c r="Q85" i="4"/>
  <c r="P85" i="4"/>
  <c r="L85" i="4"/>
  <c r="F85" i="4"/>
  <c r="E85" i="4"/>
  <c r="D85" i="4"/>
  <c r="R84" i="4"/>
  <c r="Q84" i="4"/>
  <c r="P84" i="4"/>
  <c r="L84" i="4"/>
  <c r="F84" i="4"/>
  <c r="E84" i="4"/>
  <c r="D84" i="4"/>
  <c r="R83" i="4"/>
  <c r="Q83" i="4"/>
  <c r="P83" i="4"/>
  <c r="L83" i="4"/>
  <c r="F83" i="4"/>
  <c r="E83" i="4"/>
  <c r="D83" i="4"/>
  <c r="R82" i="4"/>
  <c r="Q82" i="4"/>
  <c r="P82" i="4"/>
  <c r="L82" i="4"/>
  <c r="F82" i="4"/>
  <c r="E82" i="4"/>
  <c r="D82" i="4"/>
  <c r="R81" i="4"/>
  <c r="Q81" i="4"/>
  <c r="P81" i="4"/>
  <c r="L81" i="4"/>
  <c r="F81" i="4"/>
  <c r="E81" i="4"/>
  <c r="D81" i="4"/>
  <c r="R80" i="4"/>
  <c r="Q80" i="4"/>
  <c r="P80" i="4"/>
  <c r="L80" i="4"/>
  <c r="F80" i="4"/>
  <c r="E80" i="4"/>
  <c r="D80" i="4"/>
  <c r="R79" i="4"/>
  <c r="Q79" i="4"/>
  <c r="P79" i="4"/>
  <c r="L79" i="4"/>
  <c r="F79" i="4"/>
  <c r="E79" i="4"/>
  <c r="D79" i="4"/>
  <c r="R78" i="4"/>
  <c r="Q78" i="4"/>
  <c r="P78" i="4"/>
  <c r="L78" i="4"/>
  <c r="F78" i="4"/>
  <c r="E78" i="4"/>
  <c r="D78" i="4"/>
  <c r="R77" i="4"/>
  <c r="Q77" i="4"/>
  <c r="P77" i="4"/>
  <c r="L77" i="4"/>
  <c r="F77" i="4"/>
  <c r="E77" i="4"/>
  <c r="D77" i="4"/>
  <c r="R76" i="4"/>
  <c r="Q76" i="4"/>
  <c r="P76" i="4"/>
  <c r="L76" i="4"/>
  <c r="F76" i="4"/>
  <c r="E76" i="4"/>
  <c r="D76" i="4"/>
  <c r="R75" i="4"/>
  <c r="Q75" i="4"/>
  <c r="P75" i="4"/>
  <c r="L75" i="4"/>
  <c r="F75" i="4"/>
  <c r="E75" i="4"/>
  <c r="G75" i="4" s="1"/>
  <c r="D75" i="4"/>
  <c r="R74" i="4"/>
  <c r="Q74" i="4"/>
  <c r="P74" i="4"/>
  <c r="L74" i="4"/>
  <c r="F74" i="4"/>
  <c r="E74" i="4"/>
  <c r="D74" i="4"/>
  <c r="R73" i="4"/>
  <c r="Q73" i="4"/>
  <c r="P73" i="4"/>
  <c r="L73" i="4"/>
  <c r="F73" i="4"/>
  <c r="E73" i="4"/>
  <c r="D73" i="4"/>
  <c r="R72" i="4"/>
  <c r="Q72" i="4"/>
  <c r="P72" i="4"/>
  <c r="L72" i="4"/>
  <c r="F72" i="4"/>
  <c r="E72" i="4"/>
  <c r="D72" i="4"/>
  <c r="R71" i="4"/>
  <c r="Q71" i="4"/>
  <c r="P71" i="4"/>
  <c r="L71" i="4"/>
  <c r="F71" i="4"/>
  <c r="E71" i="4"/>
  <c r="G71" i="4" s="1"/>
  <c r="D71" i="4"/>
  <c r="R70" i="4"/>
  <c r="Q70" i="4"/>
  <c r="P70" i="4"/>
  <c r="L70" i="4"/>
  <c r="F70" i="4"/>
  <c r="E70" i="4"/>
  <c r="D70" i="4"/>
  <c r="R69" i="4"/>
  <c r="Q69" i="4"/>
  <c r="P69" i="4"/>
  <c r="L69" i="4"/>
  <c r="F69" i="4"/>
  <c r="E69" i="4"/>
  <c r="D69" i="4"/>
  <c r="R68" i="4"/>
  <c r="Q68" i="4"/>
  <c r="P68" i="4"/>
  <c r="L68" i="4"/>
  <c r="F68" i="4"/>
  <c r="E68" i="4"/>
  <c r="D68" i="4"/>
  <c r="R67" i="4"/>
  <c r="Q67" i="4"/>
  <c r="P67" i="4"/>
  <c r="L67" i="4"/>
  <c r="F67" i="4"/>
  <c r="E67" i="4"/>
  <c r="G67" i="4" s="1"/>
  <c r="D67" i="4"/>
  <c r="R66" i="4"/>
  <c r="Q66" i="4"/>
  <c r="P66" i="4"/>
  <c r="L66" i="4"/>
  <c r="F66" i="4"/>
  <c r="E66" i="4"/>
  <c r="D66" i="4"/>
  <c r="R65" i="4"/>
  <c r="Q65" i="4"/>
  <c r="P65" i="4"/>
  <c r="L65" i="4"/>
  <c r="F65" i="4"/>
  <c r="E65" i="4"/>
  <c r="D65" i="4"/>
  <c r="R64" i="4"/>
  <c r="Q64" i="4"/>
  <c r="P64" i="4"/>
  <c r="L64" i="4"/>
  <c r="F64" i="4"/>
  <c r="E64" i="4"/>
  <c r="D64" i="4"/>
  <c r="R63" i="4"/>
  <c r="Q63" i="4"/>
  <c r="P63" i="4"/>
  <c r="I63" i="4"/>
  <c r="L63" i="4" s="1"/>
  <c r="F63" i="4"/>
  <c r="E63" i="4"/>
  <c r="G63" i="4" s="1"/>
  <c r="D63" i="4"/>
  <c r="R62" i="4"/>
  <c r="Q62" i="4"/>
  <c r="P62" i="4"/>
  <c r="I62" i="4"/>
  <c r="L62" i="4" s="1"/>
  <c r="F62" i="4"/>
  <c r="G62" i="4" s="1"/>
  <c r="E62" i="4"/>
  <c r="D62" i="4"/>
  <c r="R61" i="4"/>
  <c r="Q61" i="4"/>
  <c r="P61" i="4"/>
  <c r="I61" i="4"/>
  <c r="L61" i="4" s="1"/>
  <c r="F61" i="4"/>
  <c r="E61" i="4"/>
  <c r="D61" i="4"/>
  <c r="R60" i="4"/>
  <c r="Q60" i="4"/>
  <c r="P60" i="4"/>
  <c r="I60" i="4"/>
  <c r="L60" i="4" s="1"/>
  <c r="F60" i="4"/>
  <c r="E60" i="4"/>
  <c r="D60" i="4"/>
  <c r="R59" i="4"/>
  <c r="Q59" i="4"/>
  <c r="P59" i="4"/>
  <c r="I59" i="4"/>
  <c r="L59" i="4" s="1"/>
  <c r="F59" i="4"/>
  <c r="E59" i="4"/>
  <c r="D59" i="4"/>
  <c r="R58" i="4"/>
  <c r="Q58" i="4"/>
  <c r="P58" i="4"/>
  <c r="I58" i="4"/>
  <c r="F58" i="4"/>
  <c r="E58" i="4"/>
  <c r="D58" i="4"/>
  <c r="R57" i="4"/>
  <c r="Q57" i="4"/>
  <c r="P57" i="4"/>
  <c r="L57" i="4"/>
  <c r="F57" i="4"/>
  <c r="E57" i="4"/>
  <c r="G57" i="4" s="1"/>
  <c r="J57" i="4" s="1"/>
  <c r="M57" i="4" s="1"/>
  <c r="D57" i="4"/>
  <c r="R56" i="4"/>
  <c r="Q56" i="4"/>
  <c r="P56" i="4"/>
  <c r="S56" i="4" s="1"/>
  <c r="L56" i="4"/>
  <c r="F56" i="4"/>
  <c r="E56" i="4"/>
  <c r="D56" i="4"/>
  <c r="R55" i="4"/>
  <c r="Q55" i="4"/>
  <c r="P55" i="4"/>
  <c r="L55" i="4"/>
  <c r="F55" i="4"/>
  <c r="E55" i="4"/>
  <c r="D55" i="4"/>
  <c r="R54" i="4"/>
  <c r="Q54" i="4"/>
  <c r="P54" i="4"/>
  <c r="L54" i="4"/>
  <c r="F54" i="4"/>
  <c r="E54" i="4"/>
  <c r="D54" i="4"/>
  <c r="R53" i="4"/>
  <c r="Q53" i="4"/>
  <c r="P53" i="4"/>
  <c r="L53" i="4"/>
  <c r="F53" i="4"/>
  <c r="E53" i="4"/>
  <c r="G53" i="4" s="1"/>
  <c r="J53" i="4" s="1"/>
  <c r="M53" i="4" s="1"/>
  <c r="D53" i="4"/>
  <c r="R52" i="4"/>
  <c r="Q52" i="4"/>
  <c r="P52" i="4"/>
  <c r="S52" i="4" s="1"/>
  <c r="L52" i="4"/>
  <c r="F52" i="4"/>
  <c r="E52" i="4"/>
  <c r="D52" i="4"/>
  <c r="R51" i="4"/>
  <c r="Q51" i="4"/>
  <c r="P51" i="4"/>
  <c r="L51" i="4"/>
  <c r="F51" i="4"/>
  <c r="E51" i="4"/>
  <c r="D51" i="4"/>
  <c r="R50" i="4"/>
  <c r="Q50" i="4"/>
  <c r="P50" i="4"/>
  <c r="L50" i="4"/>
  <c r="F50" i="4"/>
  <c r="G50" i="4" s="1"/>
  <c r="E50" i="4"/>
  <c r="D50" i="4"/>
  <c r="R49" i="4"/>
  <c r="Q49" i="4"/>
  <c r="P49" i="4"/>
  <c r="L49" i="4"/>
  <c r="F49" i="4"/>
  <c r="E49" i="4"/>
  <c r="D49" i="4"/>
  <c r="R48" i="4"/>
  <c r="Q48" i="4"/>
  <c r="P48" i="4"/>
  <c r="L48" i="4"/>
  <c r="F48" i="4"/>
  <c r="E48" i="4"/>
  <c r="D48" i="4"/>
  <c r="R47" i="4"/>
  <c r="Q47" i="4"/>
  <c r="P47" i="4"/>
  <c r="L47" i="4"/>
  <c r="F47" i="4"/>
  <c r="E47" i="4"/>
  <c r="D47" i="4"/>
  <c r="R46" i="4"/>
  <c r="Q46" i="4"/>
  <c r="P46" i="4"/>
  <c r="L46" i="4"/>
  <c r="F46" i="4"/>
  <c r="E46" i="4"/>
  <c r="D46" i="4"/>
  <c r="R45" i="4"/>
  <c r="Q45" i="4"/>
  <c r="P45" i="4"/>
  <c r="L45" i="4"/>
  <c r="F45" i="4"/>
  <c r="E45" i="4"/>
  <c r="D45" i="4"/>
  <c r="R44" i="4"/>
  <c r="Q44" i="4"/>
  <c r="P44" i="4"/>
  <c r="L44" i="4"/>
  <c r="F44" i="4"/>
  <c r="E44" i="4"/>
  <c r="D44" i="4"/>
  <c r="R43" i="4"/>
  <c r="Q43" i="4"/>
  <c r="P43" i="4"/>
  <c r="L43" i="4"/>
  <c r="F43" i="4"/>
  <c r="E43" i="4"/>
  <c r="D43" i="4"/>
  <c r="R42" i="4"/>
  <c r="Q42" i="4"/>
  <c r="P42" i="4"/>
  <c r="L42" i="4"/>
  <c r="F42" i="4"/>
  <c r="E42" i="4"/>
  <c r="D42" i="4"/>
  <c r="R41" i="4"/>
  <c r="Q41" i="4"/>
  <c r="P41" i="4"/>
  <c r="L41" i="4"/>
  <c r="F41" i="4"/>
  <c r="E41" i="4"/>
  <c r="D41" i="4"/>
  <c r="R40" i="4"/>
  <c r="Q40" i="4"/>
  <c r="P40" i="4"/>
  <c r="L40" i="4"/>
  <c r="F40" i="4"/>
  <c r="E40" i="4"/>
  <c r="D40" i="4"/>
  <c r="R39" i="4"/>
  <c r="Q39" i="4"/>
  <c r="P39" i="4"/>
  <c r="L39" i="4"/>
  <c r="F39" i="4"/>
  <c r="E39" i="4"/>
  <c r="D39" i="4"/>
  <c r="R38" i="4"/>
  <c r="Q38" i="4"/>
  <c r="P38" i="4"/>
  <c r="L38" i="4"/>
  <c r="F38" i="4"/>
  <c r="E38" i="4"/>
  <c r="D38" i="4"/>
  <c r="R37" i="4"/>
  <c r="Q37" i="4"/>
  <c r="P37" i="4"/>
  <c r="L37" i="4"/>
  <c r="F37" i="4"/>
  <c r="E37" i="4"/>
  <c r="D37" i="4"/>
  <c r="R36" i="4"/>
  <c r="Q36" i="4"/>
  <c r="P36" i="4"/>
  <c r="L36" i="4"/>
  <c r="F36" i="4"/>
  <c r="E36" i="4"/>
  <c r="D36" i="4"/>
  <c r="R35" i="4"/>
  <c r="Q35" i="4"/>
  <c r="P35" i="4"/>
  <c r="L35" i="4"/>
  <c r="F35" i="4"/>
  <c r="E35" i="4"/>
  <c r="D35" i="4"/>
  <c r="R34" i="4"/>
  <c r="Q34" i="4"/>
  <c r="P34" i="4"/>
  <c r="L34" i="4"/>
  <c r="F34" i="4"/>
  <c r="G34" i="4" s="1"/>
  <c r="E34" i="4"/>
  <c r="D34" i="4"/>
  <c r="R33" i="4"/>
  <c r="Q33" i="4"/>
  <c r="P33" i="4"/>
  <c r="L33" i="4"/>
  <c r="F33" i="4"/>
  <c r="E33" i="4"/>
  <c r="D33" i="4"/>
  <c r="R32" i="4"/>
  <c r="Q32" i="4"/>
  <c r="P32" i="4"/>
  <c r="L32" i="4"/>
  <c r="F32" i="4"/>
  <c r="E32" i="4"/>
  <c r="D32" i="4"/>
  <c r="R31" i="4"/>
  <c r="Q31" i="4"/>
  <c r="P31" i="4"/>
  <c r="L31" i="4"/>
  <c r="F31" i="4"/>
  <c r="E31" i="4"/>
  <c r="G31" i="4" s="1"/>
  <c r="D31" i="4"/>
  <c r="R30" i="4"/>
  <c r="Q30" i="4"/>
  <c r="P30" i="4"/>
  <c r="L30" i="4"/>
  <c r="F30" i="4"/>
  <c r="G30" i="4" s="1"/>
  <c r="E30" i="4"/>
  <c r="D30" i="4"/>
  <c r="R29" i="4"/>
  <c r="Q29" i="4"/>
  <c r="P29" i="4"/>
  <c r="L29" i="4"/>
  <c r="F29" i="4"/>
  <c r="E29" i="4"/>
  <c r="D29" i="4"/>
  <c r="R28" i="4"/>
  <c r="Q28" i="4"/>
  <c r="P28" i="4"/>
  <c r="L28" i="4"/>
  <c r="F28" i="4"/>
  <c r="E28" i="4"/>
  <c r="D28" i="4"/>
  <c r="R27" i="4"/>
  <c r="Q27" i="4"/>
  <c r="P27" i="4"/>
  <c r="L27" i="4"/>
  <c r="F27" i="4"/>
  <c r="E27" i="4"/>
  <c r="G27" i="4" s="1"/>
  <c r="D27" i="4"/>
  <c r="R26" i="4"/>
  <c r="Q26" i="4"/>
  <c r="P26" i="4"/>
  <c r="L26" i="4"/>
  <c r="F26" i="4"/>
  <c r="G26" i="4" s="1"/>
  <c r="E26" i="4"/>
  <c r="D26" i="4"/>
  <c r="R25" i="4"/>
  <c r="Q25" i="4"/>
  <c r="P25" i="4"/>
  <c r="L25" i="4"/>
  <c r="F25" i="4"/>
  <c r="E25" i="4"/>
  <c r="G25" i="4" s="1"/>
  <c r="D25" i="4"/>
  <c r="R24" i="4"/>
  <c r="Q24" i="4"/>
  <c r="P24" i="4"/>
  <c r="L24" i="4"/>
  <c r="F24" i="4"/>
  <c r="E24" i="4"/>
  <c r="D24" i="4"/>
  <c r="S23" i="4"/>
  <c r="L23" i="4"/>
  <c r="F23" i="4"/>
  <c r="E23" i="4"/>
  <c r="D23" i="4"/>
  <c r="S22" i="4"/>
  <c r="L22" i="4"/>
  <c r="F22" i="4"/>
  <c r="E22" i="4"/>
  <c r="D22" i="4"/>
  <c r="R21" i="4"/>
  <c r="Q21" i="4"/>
  <c r="P21" i="4"/>
  <c r="L21" i="4"/>
  <c r="F21" i="4"/>
  <c r="E21" i="4"/>
  <c r="D21" i="4"/>
  <c r="R20" i="4"/>
  <c r="Q20" i="4"/>
  <c r="P20" i="4"/>
  <c r="L20" i="4"/>
  <c r="F20" i="4"/>
  <c r="E20" i="4"/>
  <c r="D20" i="4"/>
  <c r="R19" i="4"/>
  <c r="Q19" i="4"/>
  <c r="P19" i="4"/>
  <c r="L19" i="4"/>
  <c r="F19" i="4"/>
  <c r="E19" i="4"/>
  <c r="D19" i="4"/>
  <c r="R18" i="4"/>
  <c r="Q18" i="4"/>
  <c r="P18" i="4"/>
  <c r="L18" i="4"/>
  <c r="F18" i="4"/>
  <c r="E18" i="4"/>
  <c r="D18" i="4"/>
  <c r="R17" i="4"/>
  <c r="Q17" i="4"/>
  <c r="P17" i="4"/>
  <c r="L17" i="4"/>
  <c r="F17" i="4"/>
  <c r="E17" i="4"/>
  <c r="D17" i="4"/>
  <c r="R16" i="4"/>
  <c r="Q16" i="4"/>
  <c r="P16" i="4"/>
  <c r="L16" i="4"/>
  <c r="F16" i="4"/>
  <c r="E16" i="4"/>
  <c r="D16" i="4"/>
  <c r="R15" i="4"/>
  <c r="Q15" i="4"/>
  <c r="P15" i="4"/>
  <c r="L15" i="4"/>
  <c r="F15" i="4"/>
  <c r="E15" i="4"/>
  <c r="D15" i="4"/>
  <c r="R14" i="4"/>
  <c r="Q14" i="4"/>
  <c r="P14" i="4"/>
  <c r="L14" i="4"/>
  <c r="F14" i="4"/>
  <c r="E14" i="4"/>
  <c r="D14" i="4"/>
  <c r="R13" i="4"/>
  <c r="Q13" i="4"/>
  <c r="P13" i="4"/>
  <c r="L13" i="4"/>
  <c r="F13" i="4"/>
  <c r="E13" i="4"/>
  <c r="D13" i="4"/>
  <c r="R12" i="4"/>
  <c r="Q12" i="4"/>
  <c r="P12" i="4"/>
  <c r="L12" i="4"/>
  <c r="F12" i="4"/>
  <c r="E12" i="4"/>
  <c r="D12" i="4"/>
  <c r="G12" i="4" l="1"/>
  <c r="J12" i="4" s="1"/>
  <c r="G16" i="4"/>
  <c r="J16" i="4" s="1"/>
  <c r="M16" i="4" s="1"/>
  <c r="G20" i="4"/>
  <c r="J20" i="4" s="1"/>
  <c r="M20" i="4" s="1"/>
  <c r="G24" i="4"/>
  <c r="J24" i="4" s="1"/>
  <c r="M24" i="4" s="1"/>
  <c r="G14" i="4"/>
  <c r="J14" i="4" s="1"/>
  <c r="M14" i="4" s="1"/>
  <c r="G18" i="4"/>
  <c r="G22" i="4"/>
  <c r="J22" i="4" s="1"/>
  <c r="M22" i="4" s="1"/>
  <c r="G79" i="4"/>
  <c r="J79" i="4" s="1"/>
  <c r="M79" i="4" s="1"/>
  <c r="G33" i="4"/>
  <c r="H33" i="4" s="1"/>
  <c r="G37" i="4"/>
  <c r="H37" i="4" s="1"/>
  <c r="G41" i="4"/>
  <c r="H41" i="4" s="1"/>
  <c r="G45" i="4"/>
  <c r="H45" i="4" s="1"/>
  <c r="G49" i="4"/>
  <c r="H49" i="4" s="1"/>
  <c r="S14" i="4"/>
  <c r="J18" i="4"/>
  <c r="M18" i="4" s="1"/>
  <c r="S18" i="4"/>
  <c r="S26" i="4"/>
  <c r="G28" i="4"/>
  <c r="S30" i="4"/>
  <c r="G32" i="4"/>
  <c r="G36" i="4"/>
  <c r="H36" i="4" s="1"/>
  <c r="G40" i="4"/>
  <c r="H40" i="4" s="1"/>
  <c r="G44" i="4"/>
  <c r="H44" i="4" s="1"/>
  <c r="G48" i="4"/>
  <c r="H48" i="4" s="1"/>
  <c r="G52" i="4"/>
  <c r="G56" i="4"/>
  <c r="J56" i="4" s="1"/>
  <c r="M56" i="4" s="1"/>
  <c r="S63" i="4"/>
  <c r="S67" i="4"/>
  <c r="S71" i="4"/>
  <c r="S75" i="4"/>
  <c r="S79" i="4"/>
  <c r="S83" i="4"/>
  <c r="G13" i="4"/>
  <c r="H13" i="4" s="1"/>
  <c r="G21" i="4"/>
  <c r="H21" i="4" s="1"/>
  <c r="S55" i="4"/>
  <c r="S57" i="4"/>
  <c r="G58" i="4"/>
  <c r="J58" i="4" s="1"/>
  <c r="M58" i="4" s="1"/>
  <c r="S53" i="4"/>
  <c r="G54" i="4"/>
  <c r="J54" i="4" s="1"/>
  <c r="M54" i="4" s="1"/>
  <c r="G60" i="4"/>
  <c r="S64" i="4"/>
  <c r="J67" i="4"/>
  <c r="M67" i="4" s="1"/>
  <c r="S68" i="4"/>
  <c r="J71" i="4"/>
  <c r="M71" i="4" s="1"/>
  <c r="S72" i="4"/>
  <c r="J75" i="4"/>
  <c r="M75" i="4" s="1"/>
  <c r="S76" i="4"/>
  <c r="S80" i="4"/>
  <c r="S84" i="4"/>
  <c r="H16" i="4"/>
  <c r="H20" i="4"/>
  <c r="G23" i="4"/>
  <c r="H23" i="4" s="1"/>
  <c r="G35" i="4"/>
  <c r="H35" i="4" s="1"/>
  <c r="G39" i="4"/>
  <c r="H39" i="4" s="1"/>
  <c r="G43" i="4"/>
  <c r="H43" i="4" s="1"/>
  <c r="G47" i="4"/>
  <c r="H47" i="4" s="1"/>
  <c r="G51" i="4"/>
  <c r="H51" i="4" s="1"/>
  <c r="S61" i="4"/>
  <c r="S66" i="4"/>
  <c r="S70" i="4"/>
  <c r="S74" i="4"/>
  <c r="S78" i="4"/>
  <c r="S82" i="4"/>
  <c r="S24" i="4"/>
  <c r="S28" i="4"/>
  <c r="G29" i="4"/>
  <c r="H29" i="4" s="1"/>
  <c r="S32" i="4"/>
  <c r="H34" i="4"/>
  <c r="G38" i="4"/>
  <c r="H38" i="4" s="1"/>
  <c r="G42" i="4"/>
  <c r="H42" i="4" s="1"/>
  <c r="G46" i="4"/>
  <c r="H46" i="4" s="1"/>
  <c r="H50" i="4"/>
  <c r="S54" i="4"/>
  <c r="G55" i="4"/>
  <c r="J55" i="4" s="1"/>
  <c r="M55" i="4" s="1"/>
  <c r="J62" i="4"/>
  <c r="M62" i="4" s="1"/>
  <c r="S65" i="4"/>
  <c r="S69" i="4"/>
  <c r="S73" i="4"/>
  <c r="G77" i="4"/>
  <c r="J77" i="4" s="1"/>
  <c r="M77" i="4" s="1"/>
  <c r="S77" i="4"/>
  <c r="S81" i="4"/>
  <c r="S85" i="4"/>
  <c r="G15" i="4"/>
  <c r="J15" i="4" s="1"/>
  <c r="M15" i="4" s="1"/>
  <c r="S15" i="4"/>
  <c r="G19" i="4"/>
  <c r="J19" i="4" s="1"/>
  <c r="M19" i="4" s="1"/>
  <c r="S19" i="4"/>
  <c r="S25" i="4"/>
  <c r="S27" i="4"/>
  <c r="S29" i="4"/>
  <c r="S31" i="4"/>
  <c r="H57" i="4"/>
  <c r="S58" i="4"/>
  <c r="G59" i="4"/>
  <c r="J59" i="4" s="1"/>
  <c r="M59" i="4" s="1"/>
  <c r="S59" i="4"/>
  <c r="J13" i="4"/>
  <c r="M13" i="4" s="1"/>
  <c r="S13" i="4"/>
  <c r="E8" i="4"/>
  <c r="S17" i="4"/>
  <c r="J21" i="4"/>
  <c r="M21" i="4" s="1"/>
  <c r="S21" i="4"/>
  <c r="H24" i="4"/>
  <c r="H53" i="4"/>
  <c r="H58" i="4"/>
  <c r="I92" i="4"/>
  <c r="S60" i="4"/>
  <c r="G61" i="4"/>
  <c r="J61" i="4" s="1"/>
  <c r="M61" i="4" s="1"/>
  <c r="G64" i="4"/>
  <c r="J64" i="4" s="1"/>
  <c r="M64" i="4" s="1"/>
  <c r="G65" i="4"/>
  <c r="J65" i="4" s="1"/>
  <c r="M65" i="4" s="1"/>
  <c r="G66" i="4"/>
  <c r="J66" i="4" s="1"/>
  <c r="M66" i="4" s="1"/>
  <c r="G68" i="4"/>
  <c r="J68" i="4" s="1"/>
  <c r="M68" i="4" s="1"/>
  <c r="G69" i="4"/>
  <c r="J69" i="4" s="1"/>
  <c r="M69" i="4" s="1"/>
  <c r="G70" i="4"/>
  <c r="J70" i="4" s="1"/>
  <c r="M70" i="4" s="1"/>
  <c r="G72" i="4"/>
  <c r="J72" i="4" s="1"/>
  <c r="M72" i="4" s="1"/>
  <c r="G73" i="4"/>
  <c r="J73" i="4" s="1"/>
  <c r="M73" i="4" s="1"/>
  <c r="G74" i="4"/>
  <c r="J74" i="4" s="1"/>
  <c r="M74" i="4" s="1"/>
  <c r="G76" i="4"/>
  <c r="J76" i="4" s="1"/>
  <c r="M76" i="4" s="1"/>
  <c r="G78" i="4"/>
  <c r="J78" i="4" s="1"/>
  <c r="M78" i="4" s="1"/>
  <c r="G80" i="4"/>
  <c r="H80" i="4" s="1"/>
  <c r="G81" i="4"/>
  <c r="J81" i="4" s="1"/>
  <c r="M81" i="4" s="1"/>
  <c r="G82" i="4"/>
  <c r="H82" i="4" s="1"/>
  <c r="G83" i="4"/>
  <c r="J83" i="4" s="1"/>
  <c r="M83" i="4" s="1"/>
  <c r="G84" i="4"/>
  <c r="J84" i="4" s="1"/>
  <c r="M84" i="4" s="1"/>
  <c r="G85" i="4"/>
  <c r="J85" i="4" s="1"/>
  <c r="M85" i="4" s="1"/>
  <c r="H55" i="4"/>
  <c r="H62" i="4"/>
  <c r="S12" i="4"/>
  <c r="H15" i="4"/>
  <c r="S16" i="4"/>
  <c r="S20" i="4"/>
  <c r="J34" i="4"/>
  <c r="M34" i="4" s="1"/>
  <c r="J37" i="4"/>
  <c r="M37" i="4" s="1"/>
  <c r="J40" i="4"/>
  <c r="M40" i="4" s="1"/>
  <c r="J42" i="4"/>
  <c r="M42" i="4" s="1"/>
  <c r="J44" i="4"/>
  <c r="M44" i="4" s="1"/>
  <c r="J45" i="4"/>
  <c r="M45" i="4" s="1"/>
  <c r="J46" i="4"/>
  <c r="M46" i="4" s="1"/>
  <c r="J48" i="4"/>
  <c r="M48" i="4" s="1"/>
  <c r="J49" i="4"/>
  <c r="M49" i="4" s="1"/>
  <c r="J50" i="4"/>
  <c r="M50" i="4" s="1"/>
  <c r="S51" i="4"/>
  <c r="H56" i="4"/>
  <c r="L58" i="4"/>
  <c r="J60" i="4"/>
  <c r="M60" i="4" s="1"/>
  <c r="J63" i="4"/>
  <c r="M63" i="4" s="1"/>
  <c r="H26" i="4"/>
  <c r="H32" i="4"/>
  <c r="H14" i="4"/>
  <c r="H18" i="4"/>
  <c r="H22" i="4"/>
  <c r="G17" i="4"/>
  <c r="J17" i="4" s="1"/>
  <c r="M17" i="4" s="1"/>
  <c r="S35" i="4"/>
  <c r="S36" i="4"/>
  <c r="S38" i="4"/>
  <c r="S42" i="4"/>
  <c r="D92" i="4"/>
  <c r="D91" i="4"/>
  <c r="H12" i="4"/>
  <c r="J27" i="4"/>
  <c r="M27" i="4" s="1"/>
  <c r="H27" i="4"/>
  <c r="J31" i="4"/>
  <c r="M31" i="4" s="1"/>
  <c r="H31" i="4"/>
  <c r="J30" i="4"/>
  <c r="M30" i="4" s="1"/>
  <c r="F91" i="4"/>
  <c r="F92" i="4"/>
  <c r="L92" i="4"/>
  <c r="J25" i="4"/>
  <c r="M25" i="4" s="1"/>
  <c r="H25" i="4"/>
  <c r="J29" i="4"/>
  <c r="M29" i="4" s="1"/>
  <c r="E92" i="4"/>
  <c r="E91" i="4"/>
  <c r="J26" i="4"/>
  <c r="M26" i="4" s="1"/>
  <c r="H30" i="4"/>
  <c r="J28" i="4"/>
  <c r="M28" i="4" s="1"/>
  <c r="H28" i="4"/>
  <c r="J32" i="4"/>
  <c r="M32" i="4" s="1"/>
  <c r="S33" i="4"/>
  <c r="S34" i="4"/>
  <c r="S37" i="4"/>
  <c r="S39" i="4"/>
  <c r="S40" i="4"/>
  <c r="S41" i="4"/>
  <c r="S43" i="4"/>
  <c r="S44" i="4"/>
  <c r="S45" i="4"/>
  <c r="S46" i="4"/>
  <c r="S47" i="4"/>
  <c r="S48" i="4"/>
  <c r="S49" i="4"/>
  <c r="S50" i="4"/>
  <c r="H59" i="4"/>
  <c r="H60" i="4"/>
  <c r="H61" i="4"/>
  <c r="H63" i="4"/>
  <c r="H64" i="4"/>
  <c r="H67" i="4"/>
  <c r="H69" i="4"/>
  <c r="H71" i="4"/>
  <c r="H74" i="4"/>
  <c r="H75" i="4"/>
  <c r="H77" i="4"/>
  <c r="H79" i="4"/>
  <c r="H81" i="4"/>
  <c r="J52" i="4"/>
  <c r="M52" i="4" s="1"/>
  <c r="S62" i="4"/>
  <c r="H52" i="4"/>
  <c r="J51" i="4" l="1"/>
  <c r="M51" i="4" s="1"/>
  <c r="J33" i="4"/>
  <c r="M33" i="4" s="1"/>
  <c r="H83" i="4"/>
  <c r="J43" i="4"/>
  <c r="M43" i="4" s="1"/>
  <c r="J36" i="4"/>
  <c r="M36" i="4" s="1"/>
  <c r="J35" i="4"/>
  <c r="M35" i="4" s="1"/>
  <c r="H85" i="4"/>
  <c r="H78" i="4"/>
  <c r="H72" i="4"/>
  <c r="H66" i="4"/>
  <c r="J41" i="4"/>
  <c r="M41" i="4" s="1"/>
  <c r="H54" i="4"/>
  <c r="J39" i="4"/>
  <c r="M39" i="4" s="1"/>
  <c r="J38" i="4"/>
  <c r="M38" i="4" s="1"/>
  <c r="J82" i="4"/>
  <c r="M82" i="4" s="1"/>
  <c r="J23" i="4"/>
  <c r="M23" i="4" s="1"/>
  <c r="H76" i="4"/>
  <c r="H70" i="4"/>
  <c r="H65" i="4"/>
  <c r="J47" i="4"/>
  <c r="M47" i="4" s="1"/>
  <c r="H19" i="4"/>
  <c r="J80" i="4"/>
  <c r="M80" i="4" s="1"/>
  <c r="H73" i="4"/>
  <c r="H84" i="4"/>
  <c r="H68" i="4"/>
  <c r="M12" i="4"/>
  <c r="G92" i="4"/>
  <c r="H17" i="4"/>
  <c r="G91" i="4"/>
  <c r="J91" i="4" s="1"/>
  <c r="M91" i="4" s="1"/>
  <c r="H92" i="4" l="1"/>
  <c r="M92" i="4"/>
  <c r="J92" i="4"/>
  <c r="H91" i="4"/>
  <c r="AC151" i="3" l="1"/>
  <c r="AB151" i="3"/>
  <c r="AA151" i="3"/>
  <c r="Z151" i="3"/>
  <c r="Y151" i="3"/>
  <c r="X151" i="3"/>
  <c r="W151" i="3"/>
  <c r="AE151" i="3" s="1"/>
  <c r="AC150" i="3"/>
  <c r="AB150" i="3"/>
  <c r="AA150" i="3"/>
  <c r="Z150" i="3"/>
  <c r="Y150" i="3"/>
  <c r="X150" i="3"/>
  <c r="W150" i="3"/>
  <c r="AE150" i="3" s="1"/>
  <c r="AC149" i="3"/>
  <c r="AB149" i="3"/>
  <c r="AA149" i="3"/>
  <c r="Z149" i="3"/>
  <c r="Y149" i="3"/>
  <c r="X149" i="3"/>
  <c r="W149" i="3"/>
  <c r="AE149" i="3" s="1"/>
  <c r="AC148" i="3"/>
  <c r="AB148" i="3"/>
  <c r="AA148" i="3"/>
  <c r="Z148" i="3"/>
  <c r="Y148" i="3"/>
  <c r="X148" i="3"/>
  <c r="W148" i="3"/>
  <c r="AE148" i="3" s="1"/>
  <c r="BE32" i="3"/>
  <c r="BD32" i="3"/>
  <c r="BA32" i="3"/>
  <c r="AZ32" i="3"/>
  <c r="AV32" i="3"/>
  <c r="AU32" i="3"/>
  <c r="AR32" i="3"/>
  <c r="AQ32" i="3"/>
  <c r="AM32" i="3"/>
  <c r="AL32" i="3"/>
  <c r="AI32" i="3"/>
  <c r="AH32" i="3"/>
  <c r="AE32" i="3"/>
  <c r="AC32" i="3"/>
  <c r="Z32" i="3"/>
  <c r="Y32" i="3"/>
  <c r="V32" i="3"/>
  <c r="U32" i="3"/>
  <c r="Q32" i="3"/>
  <c r="P32" i="3"/>
  <c r="M32" i="3"/>
  <c r="L32" i="3"/>
  <c r="H32" i="3"/>
  <c r="G32" i="3"/>
  <c r="E32" i="3"/>
  <c r="BG32" i="3" s="1"/>
  <c r="D8" i="3"/>
  <c r="AE8" i="3" s="1"/>
  <c r="BG7" i="3"/>
  <c r="AW7" i="3"/>
  <c r="AM7" i="3"/>
  <c r="AC7" i="3"/>
  <c r="S7" i="3"/>
  <c r="I7" i="3"/>
  <c r="D7" i="3"/>
  <c r="K7" i="3" s="1"/>
  <c r="BG2" i="3"/>
  <c r="BF2" i="3"/>
  <c r="BE2" i="3"/>
  <c r="BD2" i="3"/>
  <c r="BC2" i="3"/>
  <c r="BB2" i="3"/>
  <c r="BA2" i="3"/>
  <c r="AZ2" i="3"/>
  <c r="AY2" i="3"/>
  <c r="AW2" i="3"/>
  <c r="AV2" i="3"/>
  <c r="AU2" i="3"/>
  <c r="AT2" i="3"/>
  <c r="AS2" i="3"/>
  <c r="AR2" i="3"/>
  <c r="AQ2" i="3"/>
  <c r="AP2" i="3"/>
  <c r="AO2" i="3"/>
  <c r="AM2" i="3"/>
  <c r="AL2" i="3"/>
  <c r="AK2" i="3"/>
  <c r="AJ2" i="3"/>
  <c r="AI2" i="3"/>
  <c r="AH2" i="3"/>
  <c r="AG2" i="3"/>
  <c r="AF2" i="3"/>
  <c r="AE2" i="3"/>
  <c r="AC2" i="3"/>
  <c r="AB2" i="3"/>
  <c r="AA2" i="3"/>
  <c r="Z2" i="3"/>
  <c r="Y2" i="3"/>
  <c r="X2" i="3"/>
  <c r="W2" i="3"/>
  <c r="V2" i="3"/>
  <c r="U2" i="3"/>
  <c r="S2" i="3"/>
  <c r="R2" i="3"/>
  <c r="Q2" i="3"/>
  <c r="P2" i="3"/>
  <c r="O2" i="3"/>
  <c r="N2" i="3"/>
  <c r="M2" i="3"/>
  <c r="L2" i="3"/>
  <c r="K2" i="3"/>
  <c r="I2" i="3"/>
  <c r="H2" i="3"/>
  <c r="G2" i="3"/>
  <c r="F2" i="3"/>
  <c r="U7" i="3" l="1"/>
  <c r="AO7" i="3"/>
  <c r="AE7" i="3"/>
  <c r="AY7" i="3"/>
  <c r="U8" i="3"/>
  <c r="I32" i="3"/>
  <c r="N32" i="3"/>
  <c r="R32" i="3"/>
  <c r="W32" i="3"/>
  <c r="AA32" i="3"/>
  <c r="AF32" i="3"/>
  <c r="AJ32" i="3"/>
  <c r="AO32" i="3"/>
  <c r="AS32" i="3"/>
  <c r="AW32" i="3"/>
  <c r="BB32" i="3"/>
  <c r="BF32" i="3"/>
  <c r="AO8" i="3"/>
  <c r="K8" i="3"/>
  <c r="AY8" i="3"/>
  <c r="F32" i="3"/>
  <c r="K32" i="3"/>
  <c r="O32" i="3"/>
  <c r="S32" i="3"/>
  <c r="X32" i="3"/>
  <c r="AB32" i="3"/>
  <c r="AG32" i="3"/>
  <c r="AK32" i="3"/>
  <c r="AP32" i="3"/>
  <c r="AT32" i="3"/>
  <c r="AY32" i="3"/>
  <c r="BC32" i="3"/>
</calcChain>
</file>

<file path=xl/sharedStrings.xml><?xml version="1.0" encoding="utf-8"?>
<sst xmlns="http://schemas.openxmlformats.org/spreadsheetml/2006/main" count="1098" uniqueCount="500">
  <si>
    <t>#hidecolumn</t>
  </si>
  <si>
    <t>#hiderow</t>
  </si>
  <si>
    <t>SIS</t>
  </si>
  <si>
    <t>No Submission</t>
  </si>
  <si>
    <t>2016 CCAR</t>
  </si>
  <si>
    <t>Working Version</t>
  </si>
  <si>
    <t>No Scenario</t>
  </si>
  <si>
    <t>BHC Base - Planned Actions</t>
  </si>
  <si>
    <t>BHC Stress - Alternative Actions</t>
  </si>
  <si>
    <t>FRB Base - Planned Actions</t>
  </si>
  <si>
    <t>FRB Adverse - Planned Actions</t>
  </si>
  <si>
    <t>FRB Severely Adverse - Planned Actions</t>
  </si>
  <si>
    <t>No Measure</t>
  </si>
  <si>
    <t>2015Q1</t>
  </si>
  <si>
    <t>2015Q2</t>
  </si>
  <si>
    <t>2015Q3</t>
  </si>
  <si>
    <t>2015Q4</t>
  </si>
  <si>
    <t>2016Q1</t>
  </si>
  <si>
    <t>2016Q2</t>
  </si>
  <si>
    <t>2016Q3</t>
  </si>
  <si>
    <t>2016Q4</t>
  </si>
  <si>
    <t>2017Q1</t>
  </si>
  <si>
    <t>2017Q2</t>
  </si>
  <si>
    <t>2017Q3</t>
  </si>
  <si>
    <t>2017Q4</t>
  </si>
  <si>
    <t>2018Q1</t>
  </si>
  <si>
    <t>Actuals</t>
  </si>
  <si>
    <t>PQ0</t>
  </si>
  <si>
    <t>PQ1</t>
  </si>
  <si>
    <t>PQ2</t>
  </si>
  <si>
    <t>PQ3</t>
  </si>
  <si>
    <t>PQ4</t>
  </si>
  <si>
    <t>PQ5</t>
  </si>
  <si>
    <t>PQ6</t>
  </si>
  <si>
    <t>PQ7</t>
  </si>
  <si>
    <t>PQ8</t>
  </si>
  <si>
    <t>PQ9</t>
  </si>
  <si>
    <t>MDRM</t>
  </si>
  <si>
    <t>Item</t>
  </si>
  <si>
    <t>Schedule RI-A—Changes in Bank  Equity Capital</t>
  </si>
  <si>
    <t>SK3217 (Bank holding company equity capital - prior quarter)</t>
  </si>
  <si>
    <t>CASK3217</t>
  </si>
  <si>
    <t>1</t>
  </si>
  <si>
    <t>Total bank equity capital most recently reported for the end of previous QUARTER</t>
  </si>
  <si>
    <t>None</t>
  </si>
  <si>
    <t>SKB507 (Effect of changes in accounting principle and other)</t>
  </si>
  <si>
    <t>CASKB507</t>
  </si>
  <si>
    <t>2</t>
  </si>
  <si>
    <t>Effect of changes in accounting principles and corrections of material accounting errors</t>
  </si>
  <si>
    <t>SKB508 (Restated bank holding company equity capital - prior quarter)</t>
  </si>
  <si>
    <t>CASKB508</t>
  </si>
  <si>
    <t>3</t>
  </si>
  <si>
    <t>Balance end of previous QUARTER as restated (sum of items 1 and 2)</t>
  </si>
  <si>
    <t>SK4340 (Net income attributable to the BHC)</t>
  </si>
  <si>
    <t>CASK4340</t>
  </si>
  <si>
    <t>4</t>
  </si>
  <si>
    <t>Net income (loss) attributable to bank</t>
  </si>
  <si>
    <t/>
  </si>
  <si>
    <t>Sale of perpetual preferred stock (excluding treasury stock transactions):</t>
  </si>
  <si>
    <t>SK3577 (Sale of perpetual preferred stock, gross)</t>
  </si>
  <si>
    <t>CASK3577</t>
  </si>
  <si>
    <t>5</t>
  </si>
  <si>
    <t>Sale of perpetual preferred stock, gross</t>
  </si>
  <si>
    <t>SK3578 (Conversion or retirement of perpetual preferred stock)</t>
  </si>
  <si>
    <t>CASK3578</t>
  </si>
  <si>
    <t>6</t>
  </si>
  <si>
    <t>Conversion or retirement of perpetual preferred stock</t>
  </si>
  <si>
    <t>Sale of common stock:</t>
  </si>
  <si>
    <t>SK3579 (Sale of common stock, gross)</t>
  </si>
  <si>
    <t>CASK3579</t>
  </si>
  <si>
    <t>7</t>
  </si>
  <si>
    <t>Sale of common stock, gross</t>
  </si>
  <si>
    <t>SK3580 (Conversion or retirement of common stock)</t>
  </si>
  <si>
    <t>CASK3580</t>
  </si>
  <si>
    <t>8</t>
  </si>
  <si>
    <t>Conversion or retirement of common stock</t>
  </si>
  <si>
    <t>SK4782 (Sale of treasury stock)</t>
  </si>
  <si>
    <t>CASK4782</t>
  </si>
  <si>
    <t>9</t>
  </si>
  <si>
    <t>Sale of treasury stock</t>
  </si>
  <si>
    <t>SK4783 (Purchase of treasury stock)</t>
  </si>
  <si>
    <t>CASK4783</t>
  </si>
  <si>
    <t>10</t>
  </si>
  <si>
    <t>Purchase of treasury stock</t>
  </si>
  <si>
    <t>SK4356 (Changes incident to a business combination)</t>
  </si>
  <si>
    <t>CASK4356</t>
  </si>
  <si>
    <t>11</t>
  </si>
  <si>
    <t>Changes incident to business combinations, net</t>
  </si>
  <si>
    <t>SK4598 (Cash dividends declared on preferred stock)</t>
  </si>
  <si>
    <t>CASK4598</t>
  </si>
  <si>
    <t>12</t>
  </si>
  <si>
    <t>Cash dividends declared on preferred stock</t>
  </si>
  <si>
    <t>SK4460 (Cash dividends declared on common stock)</t>
  </si>
  <si>
    <t>CASK4460</t>
  </si>
  <si>
    <t>13</t>
  </si>
  <si>
    <t>Cash dividends declared on common stock</t>
  </si>
  <si>
    <t>SKB511 (Other comprehensive income)</t>
  </si>
  <si>
    <t>CASKB511</t>
  </si>
  <si>
    <t>14</t>
  </si>
  <si>
    <t>Other comprehensive income</t>
  </si>
  <si>
    <t>SK4591 (Changes due to ESOP)</t>
  </si>
  <si>
    <t>CASK4591</t>
  </si>
  <si>
    <t>15</t>
  </si>
  <si>
    <t>Change in the offsetting debit to the liability for Employee Stock Ownership Plan (ESOP) debt guaranteed by the bank holding company</t>
  </si>
  <si>
    <t>SK3581 (Other adjustments to equity capital)</t>
  </si>
  <si>
    <t>CASK3581</t>
  </si>
  <si>
    <t>16</t>
  </si>
  <si>
    <t>Other adjustments to equity capital (not included above)*</t>
  </si>
  <si>
    <t>SK3210 (Banking holding company equity capital - current quarter)</t>
  </si>
  <si>
    <t>CASK3210</t>
  </si>
  <si>
    <t>17</t>
  </si>
  <si>
    <t>Total bank equity capital end of current period (sum of items 3, 4, 5, 6, 7, 8, 9, 11, 14, 15, 16, less items 10, 12, 13)</t>
  </si>
  <si>
    <t>Common equity tier 1</t>
  </si>
  <si>
    <t>SDP742 (Common stock and surplus)</t>
  </si>
  <si>
    <t>CASDP742</t>
  </si>
  <si>
    <t>43</t>
  </si>
  <si>
    <t>Common stock and related surplus, net of treasury stock and unearned employee stock ownership plan (ESOP) shares</t>
  </si>
  <si>
    <t>Transition</t>
  </si>
  <si>
    <t>SK3247 (Retained earnings)</t>
  </si>
  <si>
    <t>CASK3247</t>
  </si>
  <si>
    <t>44</t>
  </si>
  <si>
    <t>Retained earnings</t>
  </si>
  <si>
    <t>SDB530 (Accumulated other comprehensive income)</t>
  </si>
  <si>
    <t>CASD8530</t>
  </si>
  <si>
    <t>45</t>
  </si>
  <si>
    <t>Accumulated other comprehensive income (AOCI)</t>
  </si>
  <si>
    <t>SDP839 (CET1 minority interest)</t>
  </si>
  <si>
    <t>CASDP839</t>
  </si>
  <si>
    <t>46</t>
  </si>
  <si>
    <t>Common equity tier 1 minority interest includable in common equity tier 1 capital</t>
  </si>
  <si>
    <t>SDP840 (Common equity tier 1 before adjustments and deductions)</t>
  </si>
  <si>
    <t>CASDP840</t>
  </si>
  <si>
    <t>47</t>
  </si>
  <si>
    <t>Common equity tier 1 before adjustments and deductions (sum of items 43 through 46); where applicable, report all line items reflective of transition provisions</t>
  </si>
  <si>
    <t>Common equity tier 1 capital: adjustments and deductions</t>
  </si>
  <si>
    <t>SDP841 (Goodwill net of DTLs)</t>
  </si>
  <si>
    <t>CASDP841</t>
  </si>
  <si>
    <t>48</t>
  </si>
  <si>
    <t>Goodwill net of associated deferred tax liabilities (DTLs)</t>
  </si>
  <si>
    <t>SDP842 (Intangible assets, net of DTLs)</t>
  </si>
  <si>
    <t>CASDP842</t>
  </si>
  <si>
    <t>49</t>
  </si>
  <si>
    <t>Intangible assets (other than goodwill and mortgage servicing assets (MSAs)), net of associated DTLs</t>
  </si>
  <si>
    <t>SDP843 (DTAs that arise from net operating loss and tax credit carryforwards)</t>
  </si>
  <si>
    <t>CASDP843</t>
  </si>
  <si>
    <t>50</t>
  </si>
  <si>
    <t>Deferred tax assets (DTAs) that arise from net operating loss and tax credit carryforwards, net of any related valuation allowances and net of DTLs</t>
  </si>
  <si>
    <t>If Item 42 is “1” for “Yes”, complete items 51 through 55 only for AOCI related adjustments.</t>
  </si>
  <si>
    <t>SDP844 (AOCI adj: Net unrealized gains (losses) on AFS securities)</t>
  </si>
  <si>
    <t>CASDP844</t>
  </si>
  <si>
    <t>51</t>
  </si>
  <si>
    <t>AOCI related adjustments: Net unrealized gains (losses) on available-for-sale securities (if a gain, report as a positive value; if a loss, report as a negative value)</t>
  </si>
  <si>
    <t>SDP845 (AOCI adj: Net unrealized loss on equity securities)</t>
  </si>
  <si>
    <t>CASDP845</t>
  </si>
  <si>
    <t>52</t>
  </si>
  <si>
    <t>AOCI related adjustments: Net unrealized loss on available-for-sale preferred stock classified as an equity security under GAAP and available-for-sale equity exposures (report loss as a positive value)</t>
  </si>
  <si>
    <t>SDP846 (AOCI adj: Accumulated net gains (losses) on cash flow hedges)</t>
  </si>
  <si>
    <t>CASDP846</t>
  </si>
  <si>
    <t>53</t>
  </si>
  <si>
    <t>AOCI related adjustments: Accumulated net gains (losses) on cash flow hedges (if a gain, report as a positive value; if a loss, report as a negative value)</t>
  </si>
  <si>
    <t>SDP847 (AOCI adj: Amounts recorded in AOCI attributed to defined benefit retirement plans)</t>
  </si>
  <si>
    <t>CASDP847</t>
  </si>
  <si>
    <t>54</t>
  </si>
  <si>
    <t>AOCI related adjustments: Amounts recorded in AOCI attributed to defined benefit postretirement plans resulting from the initial and subsequent application of the relevant GAAP standards that pertain to such plans  (if a gain, report as a positive value; if a loss, report as a negative value)</t>
  </si>
  <si>
    <t>SDP848 (AOCI adj: Net unrealized gains (losses) on HTM securities included in AOCI)</t>
  </si>
  <si>
    <t>CASDP848</t>
  </si>
  <si>
    <t>55</t>
  </si>
  <si>
    <t>AOCI related adjustments: Net unrealized gains (losses) on held-to-maturity securities that are included in AOCI (if a gain, report as a positive value; if a loss, report as a negative value)</t>
  </si>
  <si>
    <t>If Item 42 is “0” for “No”, complete item 56 only for AOCI related adjustments.</t>
  </si>
  <si>
    <t>SDP849 (AOCI adj: Accumulated net gain gain (loss) on cash flow hedges included in AOCI related to hedges of not recognized at fair value on the balance sheet)</t>
  </si>
  <si>
    <t>CASDP849</t>
  </si>
  <si>
    <t>56</t>
  </si>
  <si>
    <t>AOCI related adjustments: Accumulated net gain (loss) on cash flow hedges included in AOCI, net of applicable tax effects, that relate to the hedging of items that are not recognized at fair value on the balance sheet (if a gain, report as a positive value; if a loss, report as a negative value)</t>
  </si>
  <si>
    <t>SDQ258 (Other deductions:  Unrealized net gain (loss) due to change in fair value of liabilities due to change in own credit risk)</t>
  </si>
  <si>
    <t>CASDQ258</t>
  </si>
  <si>
    <t>57</t>
  </si>
  <si>
    <t>Other deductions from (additions to) common equity tier capital 1 before threshold-based deductions: Unrealized net gain (loss) related to changes in the fair value of liabilities that are due to changes in own credit risk (if a gain, report as a positive value; if a loss, report as a negative value)</t>
  </si>
  <si>
    <t>SDP850 (Other deductions: all other)</t>
  </si>
  <si>
    <t>CASDP850</t>
  </si>
  <si>
    <t>58</t>
  </si>
  <si>
    <t xml:space="preserve"> All other deductions from (additions to) common equity tier 1 capital before threshold-based deductions</t>
  </si>
  <si>
    <t>SDP851 (Non-sign investments in capital of unconsolidated financial institutions that exceed 10%)</t>
  </si>
  <si>
    <t>CASDP851</t>
  </si>
  <si>
    <t>59</t>
  </si>
  <si>
    <t>Non-significant investments in the capital of unconsolidated financial institutions in the form of common stock that exceed the 10 percent threshold for non-significant investments</t>
  </si>
  <si>
    <t>SDP852 (Subtotal)</t>
  </si>
  <si>
    <t>CASDP852</t>
  </si>
  <si>
    <t>60</t>
  </si>
  <si>
    <t>Subtotal (item 47 minus items 48 through 59)</t>
  </si>
  <si>
    <t>SDP853 (Sig investments in common stock of unconsolidated financial institutions in excess of 10%)</t>
  </si>
  <si>
    <t>CASKP853</t>
  </si>
  <si>
    <t>61</t>
  </si>
  <si>
    <t>Significant investments in the capital of unconsolidated financial institutions in the form of common stock, net of associated DTLs, that exceed the 10 percent common equity tier 1 capital deduction threshold (item 92)</t>
  </si>
  <si>
    <t>SDP854 (MSAs, net that exceed 10%)</t>
  </si>
  <si>
    <t>CASKP854</t>
  </si>
  <si>
    <t>62</t>
  </si>
  <si>
    <t>MSAs, net of associated DTLs, that exceed the 10 percent common equity tier 1 capital deduction threshold (item 97)</t>
  </si>
  <si>
    <t>SDP855 (DTAs arising from temporary differences, net that exceed 10%)</t>
  </si>
  <si>
    <t>CASKP855</t>
  </si>
  <si>
    <t>63</t>
  </si>
  <si>
    <t>DTAs arising from temporary differences that could not be realized through net operating loss carrybacks, net of related valuation allowances and net of DTLs, that exceed the 10 percent common equity tier 1 capital deduction threshold (item 100)</t>
  </si>
  <si>
    <t>CASKP856</t>
  </si>
  <si>
    <t>64</t>
  </si>
  <si>
    <t>Amount of significant investments in the capital of unconsolidated financial institutions in the form of common stock; MSAs, net of associated DTLs; and DTAs arising from temporary differences that could not be realized through net operating loss carrybacks, net of related valuation allowances and net of DTLs; that exceeds the 15 percent common equity tier 1 capital deduction threshold (item 105)</t>
  </si>
  <si>
    <t>SDP857 (Deductions to CET due to insufficient AT1)</t>
  </si>
  <si>
    <t>CASDP857</t>
  </si>
  <si>
    <t>65</t>
  </si>
  <si>
    <t>Deductions applied to common equity tier 1 capital due to insufficient amount of additional tier 1 capital and tier 2 capital to cover deductions</t>
  </si>
  <si>
    <t>SDP858 (Total adjustments and deductions for common equity tier 1)</t>
  </si>
  <si>
    <t>CASDP858</t>
  </si>
  <si>
    <t>66</t>
  </si>
  <si>
    <t>Total adjustments and deductions for common equity tier 1 capital (sum of items 61 through 65)</t>
  </si>
  <si>
    <t>SDP859 (Common equity tier 1 capital)</t>
  </si>
  <si>
    <t>CASDP859</t>
  </si>
  <si>
    <t>67</t>
  </si>
  <si>
    <t>Common equity tier 1 capital</t>
  </si>
  <si>
    <t>Additional tier 1 capital</t>
  </si>
  <si>
    <t>SDP860 (Additional tier 1 capital instruments)</t>
  </si>
  <si>
    <t>CASDP860</t>
  </si>
  <si>
    <t>68</t>
  </si>
  <si>
    <t>Additional tier 1 capital instruments plus related surplus</t>
  </si>
  <si>
    <t>SDP861 (Non-qualifying capital instruments subject to phase out of tier 1)</t>
  </si>
  <si>
    <t>CASDP861</t>
  </si>
  <si>
    <t>69</t>
  </si>
  <si>
    <t>Non-qualifying capital instruments subject to phase out from additional tier 1 capital</t>
  </si>
  <si>
    <t>SDP862 (Tier 1 minority interest)</t>
  </si>
  <si>
    <t>CASDP862</t>
  </si>
  <si>
    <t>70</t>
  </si>
  <si>
    <t>Tier 1 minority interest not included in common equity tier 1 capital</t>
  </si>
  <si>
    <t>SDP863 (Additional tier 1 capital before deductions)</t>
  </si>
  <si>
    <t>CASDP863</t>
  </si>
  <si>
    <t>71</t>
  </si>
  <si>
    <t>Additional tier 1 capital before deductions</t>
  </si>
  <si>
    <t>SDP864 (Additional tier 1 capital deductions)</t>
  </si>
  <si>
    <t>CASDP864</t>
  </si>
  <si>
    <t>72</t>
  </si>
  <si>
    <t>Additional tier 1 capital deductions</t>
  </si>
  <si>
    <t>SDP865 (Additional tier 1 capital)</t>
  </si>
  <si>
    <t>CASDP865</t>
  </si>
  <si>
    <t>73</t>
  </si>
  <si>
    <t>Tier 1 capital</t>
  </si>
  <si>
    <t>SD8274 (Tier 1 capital)</t>
  </si>
  <si>
    <t>CASD8274</t>
  </si>
  <si>
    <t>74</t>
  </si>
  <si>
    <t>Tier 1 capital (sum of items 67 and 73)</t>
  </si>
  <si>
    <t>Tier 2 capital</t>
  </si>
  <si>
    <t>SDP866 (Tier 2 capital instruments plus related surplus)</t>
  </si>
  <si>
    <t>CASDP866</t>
  </si>
  <si>
    <t>75</t>
  </si>
  <si>
    <t>Tier 2 capital instruments plus related surplus</t>
  </si>
  <si>
    <t>SDP867 (Non-qualifying capital instruments subject to phase out from tier 2)</t>
  </si>
  <si>
    <t>CASDP867</t>
  </si>
  <si>
    <t>76</t>
  </si>
  <si>
    <t>Non-qualifying capital instruments subject to phase out from tier 2 capital</t>
  </si>
  <si>
    <t>SDP868 (Total capital minority interest)</t>
  </si>
  <si>
    <t>CASDP868</t>
  </si>
  <si>
    <t>77</t>
  </si>
  <si>
    <t>Total capital minority interest that is not included in tier 1 capital</t>
  </si>
  <si>
    <t>SD5310 (Allowance for loan and lease losses includable in tier 2 capital)</t>
  </si>
  <si>
    <t>CASD5310</t>
  </si>
  <si>
    <t>78</t>
  </si>
  <si>
    <t>Allowance for loan and lease losses includable in tier 2 capital</t>
  </si>
  <si>
    <t>CASE5310</t>
  </si>
  <si>
    <t>79</t>
  </si>
  <si>
    <t>(Advanced approaches that exit parallel run only): eligible credit reserves includable in tier 2 capital</t>
  </si>
  <si>
    <t>SDQ257 (Unrealized gains on AFS equities)</t>
  </si>
  <si>
    <t>CASDQ257</t>
  </si>
  <si>
    <t>80</t>
  </si>
  <si>
    <t>Unrealized gains on available-for-sale preferred stock classified as an equity security under GAAP and available-for-sale equity exposures includable in tier 2 capital</t>
  </si>
  <si>
    <t>SDP870 (Tier 2 capital before deductions)</t>
  </si>
  <si>
    <t>CASDP870</t>
  </si>
  <si>
    <t>81</t>
  </si>
  <si>
    <t>Tier 2 capital before deductions</t>
  </si>
  <si>
    <t>CASEP870</t>
  </si>
  <si>
    <t>82</t>
  </si>
  <si>
    <t>(Advanced approaches that exit parallel run only): Tier 2 capital before deductions, reflective of transition procedures</t>
  </si>
  <si>
    <t>SDP872 (Tier 2 capital deductions)</t>
  </si>
  <si>
    <t>CASDP872</t>
  </si>
  <si>
    <t>83</t>
  </si>
  <si>
    <t>Tier 2 capital deductions</t>
  </si>
  <si>
    <t>SD5311 (Tier 2 capital)</t>
  </si>
  <si>
    <t>CASD5311</t>
  </si>
  <si>
    <t>84</t>
  </si>
  <si>
    <t>CASE5311</t>
  </si>
  <si>
    <t>85</t>
  </si>
  <si>
    <t>(Advanced approaches that exit parallel run only): Tier 2 capital, reflective of transition procedures</t>
  </si>
  <si>
    <t>Total capital</t>
  </si>
  <si>
    <t>SD3792 (Total capital)</t>
  </si>
  <si>
    <t>CASD3792</t>
  </si>
  <si>
    <t>86</t>
  </si>
  <si>
    <t>Total capital (sum of items 74 and 84)</t>
  </si>
  <si>
    <t>CASE3792</t>
  </si>
  <si>
    <t>87</t>
  </si>
  <si>
    <t>(Advanced approaches that exit parallel run only): Total capital(sum of items 74 and 85)</t>
  </si>
  <si>
    <t>10%/15% Threshold Deductions Calculations</t>
  </si>
  <si>
    <t>Significant investments in the capital of unconsolidated financial institutions in the form of common stock, net of associated DTLs</t>
  </si>
  <si>
    <t>SDQ259 (Gross significant investments in the capital of unconsolidated financial institutions)</t>
  </si>
  <si>
    <t>CASDQ259</t>
  </si>
  <si>
    <t>88</t>
  </si>
  <si>
    <t>Gross significant investments in the capital of unconsolidated financial institutions in the form of common stock</t>
  </si>
  <si>
    <t>SDQ260 (Permitted offsetting short positions in relation to the specific gross holdings included above)</t>
  </si>
  <si>
    <t>CASDQ260</t>
  </si>
  <si>
    <t>89</t>
  </si>
  <si>
    <t>Permitted offsetting short positions in relation to the specific gross holdings included above</t>
  </si>
  <si>
    <t>SDQ261 (Significant investments in financials, net)</t>
  </si>
  <si>
    <t>CASDQ261</t>
  </si>
  <si>
    <t>90</t>
  </si>
  <si>
    <t>Significant investments in the capital of unconsolidated financial institutions in the form of common stock net of short positions  (greater of item 88 minus 89 or zero)</t>
  </si>
  <si>
    <t>SDQ262 (10% of common equity tier 1 deduction threshold)</t>
  </si>
  <si>
    <t>CASDQ262</t>
  </si>
  <si>
    <t>91</t>
  </si>
  <si>
    <t>10 percent common equity tier 1 deduction threshold (10 percent of item 60)</t>
  </si>
  <si>
    <t>CASDP853</t>
  </si>
  <si>
    <t>92</t>
  </si>
  <si>
    <t>Amount to be deducted from common equity tier 1 due to 10 percent deduction threshold (greater of item 90 minus item 91 or zero)</t>
  </si>
  <si>
    <t>MSAs, net of associated DTLs</t>
  </si>
  <si>
    <t>SDQ263 (Total MSAs)</t>
  </si>
  <si>
    <t>CASDQ263</t>
  </si>
  <si>
    <t>93</t>
  </si>
  <si>
    <t>Total mortgage servicing assets classified as intangible</t>
  </si>
  <si>
    <t>SDQ264 (DTLs associated with MSAs)</t>
  </si>
  <si>
    <t>CASDQ264</t>
  </si>
  <si>
    <t>94</t>
  </si>
  <si>
    <t>Associated deferred tax liabilities which would be extinguished if the intangible becomes impaired or derecognized under the relevant accounting standards</t>
  </si>
  <si>
    <t>SDQ265 (MSAs, net of DTLs)</t>
  </si>
  <si>
    <t>CASDQ265</t>
  </si>
  <si>
    <t>95</t>
  </si>
  <si>
    <t>Mortgage servicing assets net of related deferred tax liabilities (item 93 minus item 94)</t>
  </si>
  <si>
    <t>96</t>
  </si>
  <si>
    <t>CASDP854</t>
  </si>
  <si>
    <t>97</t>
  </si>
  <si>
    <t>Amount to be deducted from common equity tier 1 due to 10 percent deduction threshold (greater of item 95 minus item 96 or zero)</t>
  </si>
  <si>
    <t>DTAs arising from temporary differences that could not be realized through net operating loss carrybacks, net of related valuation allowances and net of DTLs</t>
  </si>
  <si>
    <t>SDQ296 (DTAs arising from temporary differences, net of DTLs)</t>
  </si>
  <si>
    <t>CASDQ296</t>
  </si>
  <si>
    <t>98</t>
  </si>
  <si>
    <t>99</t>
  </si>
  <si>
    <t>CASDP855</t>
  </si>
  <si>
    <t>100</t>
  </si>
  <si>
    <t>Amount to be deducted from common equity tier 1 due to 10 percent deduction threshold (greater of item 98 minus item 99 or zero)</t>
  </si>
  <si>
    <t>Aggregate of items subject to the 15% limit (significant investments, mortgage servicing assets and deferred tax assets arising from temporary differences)</t>
  </si>
  <si>
    <t>SDQ266 (SDQ266)</t>
  </si>
  <si>
    <t>CASDQ266</t>
  </si>
  <si>
    <t>101</t>
  </si>
  <si>
    <t>Sum of items 90, 95, and 98</t>
  </si>
  <si>
    <t>SDQ267 (SDQ267)</t>
  </si>
  <si>
    <t>CASDQ267</t>
  </si>
  <si>
    <t>102</t>
  </si>
  <si>
    <t>15 percent common equity tier 1 deduction threshold (15 percent of item 60)</t>
  </si>
  <si>
    <t>SDQ268 (Subtotal)</t>
  </si>
  <si>
    <t>CASDQ268</t>
  </si>
  <si>
    <t>103</t>
  </si>
  <si>
    <t>Sum of items 92, 97, and 100</t>
  </si>
  <si>
    <t>SDQ269 (SDQ269)</t>
  </si>
  <si>
    <t>CASDQ269</t>
  </si>
  <si>
    <t>104</t>
  </si>
  <si>
    <t>Item 101 minus item 103</t>
  </si>
  <si>
    <t>SDQ270 (Aggregate threshold deductions in excess of 15%)</t>
  </si>
  <si>
    <t>CASDQ270</t>
  </si>
  <si>
    <t>105</t>
  </si>
  <si>
    <t>Amount to be deducted from common equity tier 1 due to 15 percent deduction threshold, prior transition provision (greater of item 104 minus item 102 or zero)</t>
  </si>
  <si>
    <t>Total Assets for the Leverage Ratio</t>
  </si>
  <si>
    <t>SK3368 (Average total consolidated assets)</t>
  </si>
  <si>
    <t>CASK3368</t>
  </si>
  <si>
    <t>106</t>
  </si>
  <si>
    <t>Average total consolidated assets</t>
  </si>
  <si>
    <t>SDP875 (Deductions from CET1 and AT1)</t>
  </si>
  <si>
    <t>CASDP875</t>
  </si>
  <si>
    <t>107</t>
  </si>
  <si>
    <t>Deductions from common equity tier 1 capital and additional tier 1 capital</t>
  </si>
  <si>
    <t>SDB596 (Other deductions)</t>
  </si>
  <si>
    <t>CASDB596</t>
  </si>
  <si>
    <t>108</t>
  </si>
  <si>
    <t>Other deductions from (additions to) assets for leverage ratio purposes</t>
  </si>
  <si>
    <t>SDA224 (Total assets for the leverage ratio)</t>
  </si>
  <si>
    <t>CASDA224</t>
  </si>
  <si>
    <t>109</t>
  </si>
  <si>
    <t>Total assets for the leverage ratio (item 106 minus items 107 and 108)</t>
  </si>
  <si>
    <t>REGULATORY CAPITAL AND RATIOS</t>
  </si>
  <si>
    <t>111</t>
  </si>
  <si>
    <t>Common equity tier 1 (item 67)</t>
  </si>
  <si>
    <t>113</t>
  </si>
  <si>
    <t>Tier 1 capital per revised regulatory capital rule (item 74)</t>
  </si>
  <si>
    <t>115</t>
  </si>
  <si>
    <t>Total capital per revised regulatory capital rule (item 86)</t>
  </si>
  <si>
    <t>SE3792 (AA-Total capital)</t>
  </si>
  <si>
    <t>116</t>
  </si>
  <si>
    <t>(Advanced approaches that exit parallel run only): Total capital per revised regulatory capital rule (item 87)</t>
  </si>
  <si>
    <t>SDA223 (Total risk-weighted assets)</t>
  </si>
  <si>
    <t>CASDA223</t>
  </si>
  <si>
    <t>118</t>
  </si>
  <si>
    <t>Total risk-weighted assets using standardized approach</t>
  </si>
  <si>
    <t>SEA223 (AA-total RWA)</t>
  </si>
  <si>
    <t>CASEA223</t>
  </si>
  <si>
    <t>119</t>
  </si>
  <si>
    <t>(Advanced approaches  that exit parallel run only): total risk-weighted assets using advanced approaches rules</t>
  </si>
  <si>
    <t>SKA224 (Total assets for the leverage ratio (revised capital rule))</t>
  </si>
  <si>
    <t>CASKA224</t>
  </si>
  <si>
    <t>120</t>
  </si>
  <si>
    <t>Total assets for the leverage ratio per revised regulatory capital rule(item 109)</t>
  </si>
  <si>
    <t>SDP793 (Common equity tier 1 capital ratio)</t>
  </si>
  <si>
    <t>CASDP793</t>
  </si>
  <si>
    <t>122</t>
  </si>
  <si>
    <t>Common equity tier 1 ratio (%)</t>
  </si>
  <si>
    <t>SEP793 (AA-CET1 ratio)</t>
  </si>
  <si>
    <t>CASEP793</t>
  </si>
  <si>
    <t>123</t>
  </si>
  <si>
    <t xml:space="preserve">Common equity tier 1 ratio (%)(Advanced approaches that exit parallel run only) </t>
  </si>
  <si>
    <t>SD7206 (Tier 1 capital ratio)</t>
  </si>
  <si>
    <t>CASD7206</t>
  </si>
  <si>
    <t>124</t>
  </si>
  <si>
    <t>Tier 1 capital ratio (%)</t>
  </si>
  <si>
    <t>SE7206 (AA-Tier 1 capital ratio)</t>
  </si>
  <si>
    <t>CASE7206</t>
  </si>
  <si>
    <t>125</t>
  </si>
  <si>
    <t xml:space="preserve"> Tier 1 capital ratio (%)(Advanced approaches  that exit parallel run only)</t>
  </si>
  <si>
    <t>SD7205 (Total capital ratio)</t>
  </si>
  <si>
    <t>CASD7205</t>
  </si>
  <si>
    <t>126</t>
  </si>
  <si>
    <t>Total capital ratio (%) (item 114 or 115 divided by item 117 or 118)</t>
  </si>
  <si>
    <t>SE7205 (AA-Total capital ratio)</t>
  </si>
  <si>
    <t>CASE7205</t>
  </si>
  <si>
    <t>127</t>
  </si>
  <si>
    <t xml:space="preserve"> Total capital ratio (%)(Advanced approaches that exit parallel run only)</t>
  </si>
  <si>
    <t>SD7204 (Tier 1 leverage ratio)</t>
  </si>
  <si>
    <t>CASD7204</t>
  </si>
  <si>
    <t>128</t>
  </si>
  <si>
    <t xml:space="preserve">Tier 1 leverage ratio (%) </t>
  </si>
  <si>
    <t xml:space="preserve">As per SEC regulations, every broker dealer must, at all times, have, and maintain, net capital no less than the required amount by the SEC for the broker dealer.  The excess is simply the amount above the minimum required.  The excess amount is necessary for SIS to operate in several businesses.  For example, when SIS is mandated a participant in a banking deal there is a capital charge related to the mandate.  The excess net capital is necessary to support the capital charge related to the deal without falling below our minimum required.  </t>
  </si>
  <si>
    <t>Excess net capital</t>
  </si>
  <si>
    <t xml:space="preserve">D </t>
  </si>
  <si>
    <t xml:space="preserve">USD Millions </t>
  </si>
  <si>
    <t>A</t>
  </si>
  <si>
    <t>B</t>
  </si>
  <si>
    <t>A+B</t>
  </si>
  <si>
    <t>C</t>
  </si>
  <si>
    <t>= A+B-C</t>
  </si>
  <si>
    <t>=C+D</t>
  </si>
  <si>
    <t>= A+B-C-D</t>
  </si>
  <si>
    <t xml:space="preserve">A </t>
  </si>
  <si>
    <t xml:space="preserve">B </t>
  </si>
  <si>
    <t xml:space="preserve">C </t>
  </si>
  <si>
    <t>Date</t>
  </si>
  <si>
    <t>Stockholder's Equity</t>
  </si>
  <si>
    <t>Subordinated Debt</t>
  </si>
  <si>
    <t>Bonus</t>
  </si>
  <si>
    <t>Total Add Backs</t>
  </si>
  <si>
    <t xml:space="preserve">Available  Capital </t>
  </si>
  <si>
    <t>Capital Charges (ex-ECM/DCM)</t>
  </si>
  <si>
    <t>EOD Capital Surplus</t>
  </si>
  <si>
    <t>ECM/DCM Intraday  Cap. Charges</t>
  </si>
  <si>
    <t>Total Intraday Charges</t>
  </si>
  <si>
    <t>Intraday Capital Surplus</t>
  </si>
  <si>
    <t>Aged fail to Receive</t>
  </si>
  <si>
    <t>Aged fail to deliver</t>
  </si>
  <si>
    <t>Cust/NC F</t>
  </si>
  <si>
    <t>CAPITAL Charges</t>
  </si>
  <si>
    <t>AVG 2014</t>
  </si>
  <si>
    <t>AVG 2016</t>
  </si>
  <si>
    <t>APR-16</t>
  </si>
  <si>
    <t>MAR-16</t>
  </si>
  <si>
    <t>FEB-16</t>
  </si>
  <si>
    <t>JAN-16</t>
  </si>
  <si>
    <t>DEC-15</t>
  </si>
  <si>
    <t>NOV-15</t>
  </si>
  <si>
    <t>OCT-15</t>
  </si>
  <si>
    <t>SEP-15</t>
  </si>
  <si>
    <t>AUG-15</t>
  </si>
  <si>
    <t>JUL-15</t>
  </si>
  <si>
    <t>JUN-15</t>
  </si>
  <si>
    <t>MAY-15</t>
  </si>
  <si>
    <t>APR-15</t>
  </si>
  <si>
    <t>MAR-15</t>
  </si>
  <si>
    <t>FEB-15</t>
  </si>
  <si>
    <t>JAN-15</t>
  </si>
  <si>
    <t>DEC-14</t>
  </si>
  <si>
    <t>NOV-14</t>
  </si>
  <si>
    <t>OCT-14</t>
  </si>
  <si>
    <t>SEP-14</t>
  </si>
  <si>
    <t>AUG-14</t>
  </si>
  <si>
    <t>JUL-14</t>
  </si>
  <si>
    <t>JUN-14</t>
  </si>
  <si>
    <t>MAY-14</t>
  </si>
  <si>
    <t>APR-14</t>
  </si>
  <si>
    <t>MAR-14</t>
  </si>
  <si>
    <t>FEB-14</t>
  </si>
  <si>
    <t>JAN-14</t>
  </si>
  <si>
    <t>n</t>
  </si>
  <si>
    <t>Customer</t>
  </si>
  <si>
    <t>House</t>
  </si>
  <si>
    <t>Excess(Deficit)</t>
  </si>
  <si>
    <t xml:space="preserve">Highest One Day Amount of Total Non-DVP relating to clients settling in one day </t>
  </si>
  <si>
    <t>Client buying shares non-DVP</t>
  </si>
  <si>
    <t>Red limit</t>
  </si>
  <si>
    <t>Daily VaR</t>
  </si>
  <si>
    <t>VaR SIS</t>
  </si>
  <si>
    <t>VaR BSNY</t>
  </si>
  <si>
    <t xml:space="preserve">Month_end VaR </t>
  </si>
  <si>
    <t>S/E</t>
  </si>
  <si>
    <t>Total Fails/Core 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</si>
</sst>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000"/>
    <numFmt numFmtId="165" formatCode="m/d/yy;@"/>
    <numFmt numFmtId="166" formatCode="_(* #,##0.0000_);_(* \(#,##0.0000\);_(* &quot;-&quot;??_);_(@_)"/>
    <numFmt numFmtId="167" formatCode="_(* #,##0_);_(* \(#,##0\);_(* &quot;-&quot;??_);_(@_)"/>
  </numFmts>
  <fonts count="24" x14ac:knownFonts="1">
    <font>
      <sz val="10"/>
      <name val="Arial"/>
    </font>
    <font>
      <sz val="11"/>
      <color theme="1"/>
      <name val="Calibri"/>
      <family val="2"/>
      <scheme val="minor"/>
    </font>
    <font>
      <sz val="11"/>
      <color theme="1"/>
      <name val="Calibri"/>
      <family val="2"/>
      <scheme val="minor"/>
    </font>
    <font>
      <b/>
      <sz val="14"/>
      <color theme="0"/>
      <name val="Arial"/>
      <family val="2"/>
    </font>
    <font>
      <sz val="10"/>
      <color theme="0"/>
      <name val="Arial"/>
      <family val="2"/>
    </font>
    <font>
      <sz val="10"/>
      <name val="Arial"/>
      <family val="2"/>
    </font>
    <font>
      <b/>
      <sz val="11"/>
      <color theme="0"/>
      <name val="Calibri"/>
      <family val="2"/>
      <scheme val="minor"/>
    </font>
    <font>
      <b/>
      <sz val="11"/>
      <color theme="1"/>
      <name val="Calibri"/>
      <family val="2"/>
      <scheme val="minor"/>
    </font>
    <font>
      <sz val="11"/>
      <color theme="0"/>
      <name val="Calibri"/>
      <family val="2"/>
      <scheme val="minor"/>
    </font>
    <font>
      <sz val="10"/>
      <color theme="1"/>
      <name val="Arial Narrow"/>
      <family val="2"/>
    </font>
    <font>
      <sz val="10"/>
      <color theme="1"/>
      <name val="Arial"/>
      <family val="2"/>
    </font>
    <font>
      <sz val="10"/>
      <name val="Arial Narrow"/>
      <family val="2"/>
    </font>
    <font>
      <i/>
      <sz val="10"/>
      <color theme="6" tint="-0.249977111117893"/>
      <name val="Arial Narrow"/>
      <family val="2"/>
    </font>
    <font>
      <sz val="10"/>
      <color theme="6" tint="-0.249977111117893"/>
      <name val="Arial Narrow"/>
      <family val="2"/>
    </font>
    <font>
      <b/>
      <sz val="10"/>
      <color theme="1"/>
      <name val="Arial Narrow"/>
      <family val="2"/>
    </font>
    <font>
      <sz val="10"/>
      <color theme="6" tint="-0.249977111117893"/>
      <name val="Arial"/>
      <family val="2"/>
    </font>
    <font>
      <b/>
      <sz val="10"/>
      <name val="Arial Narrow"/>
      <family val="2"/>
    </font>
    <font>
      <sz val="10"/>
      <color rgb="FFFF0000"/>
      <name val="Arial Narrow"/>
      <family val="2"/>
    </font>
    <font>
      <sz val="10"/>
      <color rgb="FF0000FF"/>
      <name val="Arial Narrow"/>
      <family val="2"/>
    </font>
    <font>
      <sz val="11"/>
      <name val="Calibri"/>
      <family val="2"/>
    </font>
    <font>
      <b/>
      <sz val="10"/>
      <name val="Arial"/>
      <family val="2"/>
    </font>
    <font>
      <b/>
      <sz val="11"/>
      <color rgb="FFFF0000"/>
      <name val="Calibri"/>
      <family val="2"/>
      <scheme val="minor"/>
    </font>
    <font>
      <b/>
      <sz val="14"/>
      <color theme="0"/>
      <name val="Calibri"/>
      <family val="2"/>
    </font>
    <font>
      <b/>
      <sz val="10"/>
      <color theme="0"/>
      <name val="Arial"/>
      <family val="2"/>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FFCC"/>
        <bgColor indexed="64"/>
      </patternFill>
    </fill>
    <fill>
      <patternFill patternType="solid">
        <fgColor rgb="FFFFC000"/>
        <bgColor indexed="64"/>
      </patternFill>
    </fill>
    <fill>
      <patternFill patternType="solid">
        <fgColor theme="0" tint="-0.14999847407452621"/>
        <bgColor indexed="64"/>
      </patternFill>
    </fill>
    <fill>
      <patternFill patternType="solid">
        <fgColor indexed="22"/>
        <bgColor indexed="64"/>
      </patternFill>
    </fill>
    <fill>
      <patternFill patternType="solid">
        <fgColor theme="0" tint="-0.249977111117893"/>
        <bgColor indexed="64"/>
      </patternFill>
    </fill>
  </fills>
  <borders count="19">
    <border>
      <left/>
      <right/>
      <top/>
      <bottom/>
      <diagonal/>
    </border>
    <border>
      <left/>
      <right/>
      <top/>
      <bottom style="thin">
        <color rgb="FFFF0000"/>
      </bottom>
      <diagonal/>
    </border>
    <border>
      <left/>
      <right/>
      <top style="thin">
        <color rgb="FFFF0000"/>
      </top>
      <bottom/>
      <diagonal/>
    </border>
    <border>
      <left/>
      <right/>
      <top/>
      <bottom style="double">
        <color indexed="64"/>
      </bottom>
      <diagonal/>
    </border>
    <border>
      <left/>
      <right/>
      <top/>
      <bottom style="thin">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right/>
      <top style="thin">
        <color theme="1" tint="0.499984740745262"/>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43" fontId="5" fillId="0" borderId="0" applyFont="0" applyFill="0" applyBorder="0" applyAlignment="0" applyProtection="0"/>
    <xf numFmtId="0" fontId="2" fillId="0" borderId="0"/>
    <xf numFmtId="9" fontId="2" fillId="0" borderId="0" applyFont="0" applyFill="0" applyBorder="0" applyAlignment="0" applyProtection="0"/>
    <xf numFmtId="41" fontId="9" fillId="0" borderId="0"/>
    <xf numFmtId="0" fontId="5" fillId="0" borderId="0"/>
    <xf numFmtId="41" fontId="9" fillId="4" borderId="5" applyNumberFormat="0"/>
    <xf numFmtId="9" fontId="9" fillId="0" borderId="0" applyFont="0" applyFill="0" applyBorder="0" applyAlignment="0" applyProtection="0"/>
    <xf numFmtId="41" fontId="11" fillId="6" borderId="5" applyNumberFormat="0"/>
    <xf numFmtId="0" fontId="18" fillId="7" borderId="5" applyNumberFormat="0">
      <protection locked="0"/>
    </xf>
    <xf numFmtId="41" fontId="14" fillId="0" borderId="11"/>
    <xf numFmtId="43" fontId="2" fillId="0" borderId="0" applyFont="0" applyFill="0" applyBorder="0" applyAlignment="0" applyProtection="0"/>
    <xf numFmtId="0" fontId="5" fillId="0" borderId="0"/>
    <xf numFmtId="0" fontId="1" fillId="0" borderId="0"/>
  </cellStyleXfs>
  <cellXfs count="124">
    <xf numFmtId="0" fontId="0" fillId="0" borderId="0" xfId="0"/>
    <xf numFmtId="0" fontId="0" fillId="2" borderId="0" xfId="0" applyFill="1"/>
    <xf numFmtId="0" fontId="2" fillId="0" borderId="0" xfId="2"/>
    <xf numFmtId="0" fontId="7" fillId="0" borderId="0" xfId="2" applyFont="1"/>
    <xf numFmtId="0" fontId="2" fillId="2" borderId="0" xfId="2" applyFill="1"/>
    <xf numFmtId="41" fontId="10" fillId="0" borderId="0" xfId="4" applyFont="1"/>
    <xf numFmtId="41" fontId="9" fillId="0" borderId="0" xfId="4" applyFont="1"/>
    <xf numFmtId="0" fontId="11" fillId="0" borderId="0" xfId="4" applyNumberFormat="1" applyFont="1" applyBorder="1" applyAlignment="1" applyProtection="1">
      <alignment horizontal="right"/>
      <protection locked="0"/>
    </xf>
    <xf numFmtId="0" fontId="12" fillId="0" borderId="0" xfId="5" applyFont="1"/>
    <xf numFmtId="164" fontId="12" fillId="0" borderId="0" xfId="5" applyNumberFormat="1" applyFont="1"/>
    <xf numFmtId="41" fontId="13" fillId="0" borderId="0" xfId="4" applyFont="1"/>
    <xf numFmtId="41" fontId="9" fillId="0" borderId="0" xfId="4"/>
    <xf numFmtId="41" fontId="11" fillId="0" borderId="0" xfId="4" applyFont="1" applyProtection="1">
      <protection locked="0"/>
    </xf>
    <xf numFmtId="41" fontId="14" fillId="0" borderId="0" xfId="4" applyNumberFormat="1" applyFont="1" applyBorder="1" applyAlignment="1">
      <alignment horizontal="left"/>
    </xf>
    <xf numFmtId="41" fontId="14" fillId="0" borderId="0" xfId="4" applyFont="1" applyAlignment="1">
      <alignment horizontal="right"/>
    </xf>
    <xf numFmtId="164" fontId="14" fillId="0" borderId="0" xfId="4" applyNumberFormat="1" applyFont="1"/>
    <xf numFmtId="164" fontId="14" fillId="0" borderId="0" xfId="4" applyNumberFormat="1" applyFont="1" applyAlignment="1">
      <alignment horizontal="right"/>
    </xf>
    <xf numFmtId="164" fontId="11" fillId="0" borderId="0" xfId="4" applyNumberFormat="1" applyFont="1" applyProtection="1">
      <protection locked="0"/>
    </xf>
    <xf numFmtId="164" fontId="14" fillId="0" borderId="0" xfId="4" applyNumberFormat="1" applyFont="1" applyAlignment="1">
      <alignment horizontal="left"/>
    </xf>
    <xf numFmtId="164" fontId="10" fillId="0" borderId="0" xfId="4" applyNumberFormat="1" applyFont="1"/>
    <xf numFmtId="41" fontId="15" fillId="0" borderId="0" xfId="4" applyFont="1"/>
    <xf numFmtId="41" fontId="14" fillId="0" borderId="1" xfId="4" applyFont="1" applyBorder="1" applyAlignment="1">
      <alignment horizontal="left"/>
    </xf>
    <xf numFmtId="41" fontId="14" fillId="0" borderId="1" xfId="4" applyFont="1" applyBorder="1" applyAlignment="1">
      <alignment horizontal="right"/>
    </xf>
    <xf numFmtId="164" fontId="14" fillId="0" borderId="1" xfId="4" applyNumberFormat="1" applyFont="1" applyBorder="1"/>
    <xf numFmtId="164" fontId="14" fillId="0" borderId="1" xfId="4" applyNumberFormat="1" applyFont="1" applyBorder="1" applyAlignment="1">
      <alignment horizontal="left"/>
    </xf>
    <xf numFmtId="41" fontId="11" fillId="0" borderId="0" xfId="4" applyFont="1" applyBorder="1" applyProtection="1">
      <protection locked="0"/>
    </xf>
    <xf numFmtId="14" fontId="11" fillId="0" borderId="0" xfId="4" applyNumberFormat="1" applyFont="1" applyBorder="1" applyAlignment="1" applyProtection="1">
      <alignment horizontal="center"/>
      <protection locked="0"/>
    </xf>
    <xf numFmtId="41" fontId="14" fillId="0" borderId="0" xfId="4" applyFont="1"/>
    <xf numFmtId="0" fontId="16" fillId="0" borderId="0" xfId="4" applyNumberFormat="1" applyFont="1" applyBorder="1" applyAlignment="1" applyProtection="1">
      <alignment horizontal="center"/>
    </xf>
    <xf numFmtId="41" fontId="16" fillId="0" borderId="3" xfId="4" applyFont="1" applyBorder="1" applyProtection="1">
      <protection locked="0"/>
    </xf>
    <xf numFmtId="164" fontId="16" fillId="0" borderId="3" xfId="4" applyNumberFormat="1" applyFont="1" applyBorder="1" applyProtection="1">
      <protection locked="0"/>
    </xf>
    <xf numFmtId="41" fontId="11" fillId="0" borderId="0" xfId="4" applyFont="1" applyBorder="1" applyAlignment="1" applyProtection="1">
      <alignment horizontal="center"/>
      <protection locked="0"/>
    </xf>
    <xf numFmtId="41" fontId="14" fillId="0" borderId="4" xfId="4" applyFont="1" applyBorder="1" applyAlignment="1" applyProtection="1"/>
    <xf numFmtId="164" fontId="14" fillId="0" borderId="4" xfId="4" applyNumberFormat="1" applyFont="1" applyBorder="1" applyAlignment="1" applyProtection="1"/>
    <xf numFmtId="41" fontId="9" fillId="0" borderId="0" xfId="4" applyAlignment="1">
      <alignment horizontal="center"/>
    </xf>
    <xf numFmtId="41" fontId="16" fillId="0" borderId="0" xfId="4" applyFont="1" applyBorder="1" applyAlignment="1" applyProtection="1">
      <alignment horizontal="left"/>
    </xf>
    <xf numFmtId="164" fontId="9" fillId="4" borderId="6" xfId="6" applyNumberFormat="1" applyBorder="1"/>
    <xf numFmtId="164" fontId="9" fillId="4" borderId="5" xfId="6" applyNumberFormat="1"/>
    <xf numFmtId="164" fontId="5" fillId="0" borderId="0" xfId="5" applyNumberFormat="1"/>
    <xf numFmtId="41" fontId="11" fillId="0" borderId="0" xfId="4" applyFont="1" applyBorder="1" applyAlignment="1" applyProtection="1">
      <alignment horizontal="center"/>
    </xf>
    <xf numFmtId="41" fontId="11" fillId="0" borderId="0" xfId="4" applyFont="1" applyBorder="1" applyAlignment="1" applyProtection="1">
      <alignment horizontal="left" indent="1"/>
    </xf>
    <xf numFmtId="164" fontId="14" fillId="4" borderId="6" xfId="6" applyNumberFormat="1" applyFont="1" applyBorder="1"/>
    <xf numFmtId="164" fontId="14" fillId="4" borderId="5" xfId="6" applyNumberFormat="1" applyFont="1"/>
    <xf numFmtId="41" fontId="16" fillId="0" borderId="4" xfId="4" applyFont="1" applyBorder="1" applyAlignment="1" applyProtection="1">
      <alignment horizontal="left"/>
    </xf>
    <xf numFmtId="164" fontId="14" fillId="4" borderId="7" xfId="6" applyNumberFormat="1" applyFont="1" applyBorder="1"/>
    <xf numFmtId="164" fontId="14" fillId="4" borderId="8" xfId="6" applyNumberFormat="1" applyFont="1" applyBorder="1"/>
    <xf numFmtId="41" fontId="16" fillId="0" borderId="0" xfId="4" applyFont="1" applyBorder="1" applyAlignment="1" applyProtection="1">
      <alignment horizontal="left" indent="1"/>
    </xf>
    <xf numFmtId="164" fontId="14" fillId="4" borderId="9" xfId="6" applyNumberFormat="1" applyFont="1" applyBorder="1"/>
    <xf numFmtId="164" fontId="14" fillId="4" borderId="10" xfId="6" applyNumberFormat="1" applyFont="1" applyBorder="1"/>
    <xf numFmtId="41" fontId="11" fillId="0" borderId="0" xfId="4" applyFont="1" applyBorder="1" applyAlignment="1" applyProtection="1">
      <alignment horizontal="left"/>
    </xf>
    <xf numFmtId="164" fontId="11" fillId="0" borderId="0" xfId="4" applyNumberFormat="1" applyFont="1" applyBorder="1" applyAlignment="1" applyProtection="1">
      <alignment horizontal="left" indent="1"/>
    </xf>
    <xf numFmtId="0" fontId="11" fillId="0" borderId="0" xfId="4" applyNumberFormat="1" applyFont="1" applyBorder="1" applyAlignment="1" applyProtection="1">
      <alignment horizontal="left"/>
    </xf>
    <xf numFmtId="41" fontId="9" fillId="0" borderId="0" xfId="4" applyFont="1" applyBorder="1" applyAlignment="1">
      <alignment horizontal="center"/>
    </xf>
    <xf numFmtId="41" fontId="10" fillId="0" borderId="0" xfId="4" applyFont="1" applyAlignment="1">
      <alignment horizontal="center"/>
    </xf>
    <xf numFmtId="0" fontId="11" fillId="0" borderId="0" xfId="4" applyNumberFormat="1" applyFont="1" applyBorder="1" applyAlignment="1" applyProtection="1">
      <alignment horizontal="center"/>
      <protection locked="0"/>
    </xf>
    <xf numFmtId="164" fontId="9" fillId="4" borderId="6" xfId="7" applyNumberFormat="1" applyFont="1" applyFill="1" applyBorder="1"/>
    <xf numFmtId="164" fontId="9" fillId="4" borderId="5" xfId="7" applyNumberFormat="1" applyFont="1" applyFill="1" applyBorder="1"/>
    <xf numFmtId="10" fontId="11" fillId="5" borderId="0" xfId="7" applyNumberFormat="1" applyFont="1" applyFill="1" applyProtection="1">
      <protection locked="0"/>
    </xf>
    <xf numFmtId="10" fontId="17" fillId="5" borderId="0" xfId="7" applyNumberFormat="1" applyFont="1" applyFill="1" applyProtection="1">
      <protection locked="0"/>
    </xf>
    <xf numFmtId="38" fontId="2" fillId="0" borderId="0" xfId="2" applyNumberFormat="1" applyFont="1"/>
    <xf numFmtId="0" fontId="2" fillId="0" borderId="0" xfId="2" applyFont="1"/>
    <xf numFmtId="3" fontId="2" fillId="0" borderId="0" xfId="2" applyNumberFormat="1"/>
    <xf numFmtId="3" fontId="7" fillId="0" borderId="0" xfId="2" applyNumberFormat="1" applyFont="1" applyAlignment="1">
      <alignment horizontal="center"/>
    </xf>
    <xf numFmtId="0" fontId="7" fillId="0" borderId="0" xfId="2" applyFont="1" applyAlignment="1">
      <alignment horizontal="center"/>
    </xf>
    <xf numFmtId="3" fontId="7" fillId="0" borderId="0" xfId="2" quotePrefix="1" applyNumberFormat="1" applyFont="1" applyAlignment="1">
      <alignment horizontal="center"/>
    </xf>
    <xf numFmtId="3" fontId="2" fillId="0" borderId="0" xfId="2" applyNumberFormat="1" applyAlignment="1">
      <alignment wrapText="1"/>
    </xf>
    <xf numFmtId="3" fontId="7" fillId="0" borderId="0" xfId="2" quotePrefix="1" applyNumberFormat="1" applyFont="1" applyAlignment="1">
      <alignment horizontal="center" wrapText="1"/>
    </xf>
    <xf numFmtId="0" fontId="2" fillId="5" borderId="0" xfId="2" applyFont="1" applyFill="1"/>
    <xf numFmtId="3" fontId="7" fillId="0" borderId="0" xfId="2" applyNumberFormat="1" applyFont="1"/>
    <xf numFmtId="3" fontId="21" fillId="5" borderId="0" xfId="2" applyNumberFormat="1" applyFont="1" applyFill="1"/>
    <xf numFmtId="3" fontId="7" fillId="8" borderId="0" xfId="2" applyNumberFormat="1" applyFont="1" applyFill="1"/>
    <xf numFmtId="3" fontId="21" fillId="0" borderId="0" xfId="2" applyNumberFormat="1" applyFont="1"/>
    <xf numFmtId="3" fontId="7" fillId="8" borderId="0" xfId="2" applyNumberFormat="1" applyFont="1" applyFill="1" applyAlignment="1">
      <alignment wrapText="1"/>
    </xf>
    <xf numFmtId="3" fontId="7" fillId="5" borderId="0" xfId="2" applyNumberFormat="1" applyFont="1" applyFill="1" applyAlignment="1">
      <alignment wrapText="1"/>
    </xf>
    <xf numFmtId="3" fontId="21" fillId="0" borderId="0" xfId="2" applyNumberFormat="1" applyFont="1" applyFill="1"/>
    <xf numFmtId="15" fontId="2" fillId="0" borderId="0" xfId="2" applyNumberFormat="1"/>
    <xf numFmtId="38" fontId="0" fillId="9" borderId="0" xfId="11" applyNumberFormat="1" applyFont="1" applyFill="1"/>
    <xf numFmtId="38" fontId="2" fillId="9" borderId="0" xfId="11" applyNumberFormat="1" applyFont="1" applyFill="1"/>
    <xf numFmtId="38" fontId="0" fillId="0" borderId="0" xfId="11" applyNumberFormat="1" applyFont="1"/>
    <xf numFmtId="0" fontId="2" fillId="9" borderId="0" xfId="2" applyFill="1"/>
    <xf numFmtId="38" fontId="2" fillId="0" borderId="0" xfId="11" applyNumberFormat="1" applyFont="1"/>
    <xf numFmtId="0" fontId="19" fillId="0" borderId="0" xfId="0" applyFont="1" applyAlignment="1">
      <alignment vertical="center" wrapText="1"/>
    </xf>
    <xf numFmtId="0" fontId="19" fillId="3" borderId="0" xfId="0" applyFont="1" applyFill="1" applyAlignment="1">
      <alignment vertical="center" wrapText="1"/>
    </xf>
    <xf numFmtId="0" fontId="0" fillId="3" borderId="0" xfId="0" applyFill="1"/>
    <xf numFmtId="0" fontId="3" fillId="3" borderId="0" xfId="0" applyFont="1" applyFill="1"/>
    <xf numFmtId="0" fontId="4" fillId="3" borderId="0" xfId="0" applyFont="1" applyFill="1"/>
    <xf numFmtId="49" fontId="2" fillId="0" borderId="0" xfId="2" applyNumberFormat="1"/>
    <xf numFmtId="9" fontId="2" fillId="0" borderId="0" xfId="2" applyNumberFormat="1"/>
    <xf numFmtId="0" fontId="6" fillId="3" borderId="0" xfId="2" applyFont="1" applyFill="1"/>
    <xf numFmtId="0" fontId="8" fillId="3" borderId="0" xfId="2" applyFont="1" applyFill="1"/>
    <xf numFmtId="3" fontId="20" fillId="0" borderId="0" xfId="2" applyNumberFormat="1" applyFont="1"/>
    <xf numFmtId="165" fontId="2" fillId="0" borderId="0" xfId="2" applyNumberFormat="1"/>
    <xf numFmtId="3" fontId="2" fillId="0" borderId="0" xfId="2" applyNumberFormat="1" applyFill="1"/>
    <xf numFmtId="0" fontId="5" fillId="0" borderId="0" xfId="5"/>
    <xf numFmtId="0" fontId="22" fillId="3" borderId="0" xfId="0" applyFont="1" applyFill="1"/>
    <xf numFmtId="0" fontId="3" fillId="3" borderId="0" xfId="5" applyFont="1" applyFill="1"/>
    <xf numFmtId="0" fontId="5" fillId="0" borderId="0" xfId="5"/>
    <xf numFmtId="0" fontId="5" fillId="0" borderId="0" xfId="5" applyFont="1" applyFill="1" applyBorder="1"/>
    <xf numFmtId="0" fontId="5" fillId="0" borderId="0" xfId="5" applyFont="1" applyFill="1" applyBorder="1" applyAlignment="1" applyProtection="1">
      <alignment horizontal="right"/>
      <protection locked="0"/>
    </xf>
    <xf numFmtId="0" fontId="5" fillId="0" borderId="0" xfId="5" applyBorder="1"/>
    <xf numFmtId="0" fontId="5" fillId="0" borderId="13" xfId="5" applyBorder="1"/>
    <xf numFmtId="0" fontId="5" fillId="0" borderId="4" xfId="5" applyFont="1" applyFill="1" applyBorder="1" applyAlignment="1" applyProtection="1">
      <alignment horizontal="right"/>
      <protection locked="0"/>
    </xf>
    <xf numFmtId="0" fontId="5" fillId="0" borderId="15" xfId="5" applyFont="1" applyFill="1" applyBorder="1" applyAlignment="1" applyProtection="1">
      <alignment horizontal="right"/>
      <protection locked="0"/>
    </xf>
    <xf numFmtId="0" fontId="23" fillId="3" borderId="12" xfId="5" applyFont="1" applyFill="1" applyBorder="1" applyAlignment="1" applyProtection="1">
      <alignment horizontal="left"/>
      <protection locked="0"/>
    </xf>
    <xf numFmtId="0" fontId="23" fillId="3" borderId="14" xfId="5" applyFont="1" applyFill="1" applyBorder="1" applyAlignment="1" applyProtection="1">
      <alignment horizontal="left"/>
      <protection locked="0"/>
    </xf>
    <xf numFmtId="0" fontId="23" fillId="3" borderId="16" xfId="5" applyFont="1" applyFill="1" applyBorder="1"/>
    <xf numFmtId="17" fontId="2" fillId="0" borderId="17" xfId="2" applyNumberFormat="1" applyBorder="1"/>
    <xf numFmtId="17" fontId="2" fillId="0" borderId="18" xfId="2" applyNumberFormat="1" applyBorder="1"/>
    <xf numFmtId="0" fontId="5" fillId="5" borderId="0" xfId="5" applyFont="1" applyFill="1"/>
    <xf numFmtId="15" fontId="5" fillId="10" borderId="0" xfId="5" applyNumberFormat="1" applyFill="1"/>
    <xf numFmtId="166" fontId="0" fillId="10" borderId="0" xfId="1" applyNumberFormat="1" applyFont="1" applyFill="1"/>
    <xf numFmtId="15" fontId="5" fillId="0" borderId="0" xfId="5" applyNumberFormat="1"/>
    <xf numFmtId="166" fontId="0" fillId="0" borderId="0" xfId="1" applyNumberFormat="1" applyFont="1"/>
    <xf numFmtId="15" fontId="5" fillId="0" borderId="0" xfId="5" applyNumberFormat="1" applyFill="1"/>
    <xf numFmtId="166" fontId="0" fillId="0" borderId="0" xfId="1" applyNumberFormat="1" applyFont="1" applyFill="1"/>
    <xf numFmtId="164" fontId="11" fillId="0" borderId="2" xfId="4" applyNumberFormat="1" applyFont="1" applyBorder="1" applyAlignment="1" applyProtection="1">
      <alignment horizontal="center"/>
      <protection locked="0"/>
    </xf>
    <xf numFmtId="0" fontId="19" fillId="0" borderId="0" xfId="0" applyFont="1" applyAlignment="1">
      <alignment horizontal="left" vertical="center" wrapText="1"/>
    </xf>
    <xf numFmtId="0" fontId="1" fillId="11" borderId="16" xfId="13" applyFill="1" applyBorder="1" applyAlignment="1">
      <alignment horizontal="center" wrapText="1"/>
    </xf>
    <xf numFmtId="0" fontId="1" fillId="0" borderId="0" xfId="13"/>
    <xf numFmtId="14" fontId="1" fillId="0" borderId="0" xfId="13" applyNumberFormat="1"/>
    <xf numFmtId="38" fontId="1" fillId="0" borderId="0" xfId="13" applyNumberFormat="1"/>
    <xf numFmtId="41" fontId="1" fillId="0" borderId="0" xfId="13" applyNumberFormat="1"/>
    <xf numFmtId="10" fontId="1" fillId="0" borderId="0" xfId="13" applyNumberFormat="1"/>
    <xf numFmtId="167" fontId="1" fillId="0" borderId="0" xfId="13" applyNumberFormat="1"/>
  </cellXfs>
  <cellStyles count="14">
    <cellStyle name="Comma" xfId="1" builtinId="3"/>
    <cellStyle name="Comma 2" xfId="11"/>
    <cellStyle name="Formula Input" xfId="8"/>
    <cellStyle name="l]_x000d__x000a_Path=M:\RIOCEN01_x000d__x000a_Name=Carlos Emilio Brousse_x000d__x000a_DDEApps=nsf,nsg,nsh,ntf,ns2,ors,org_x000d__x000a_SmartIcons=Todos_x000d__x000a_ 2" xfId="12"/>
    <cellStyle name="Manual input" xfId="9"/>
    <cellStyle name="Normal" xfId="0" builtinId="0"/>
    <cellStyle name="Normal 2" xfId="2"/>
    <cellStyle name="Normal 2 2" xfId="5"/>
    <cellStyle name="Normal 3" xfId="4"/>
    <cellStyle name="Normal 4" xfId="13"/>
    <cellStyle name="Percent 2" xfId="3"/>
    <cellStyle name="Percent 3" xfId="7"/>
    <cellStyle name="Subtotal" xfId="10"/>
    <cellStyle name="Vena Pull"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57A6"/>
      <rgbColor rgb="00CFCFCF"/>
      <rgbColor rgb="0040B9E7"/>
      <rgbColor rgb="00FDE48B"/>
      <rgbColor rgb="00B01C2E"/>
      <rgbColor rgb="00A7D37F"/>
      <rgbColor rgb="007FD0EF"/>
      <rgbColor rgb="00EEC381"/>
      <rgbColor rgb="0000A2DF"/>
      <rgbColor rgb="00FCC917"/>
      <rgbColor rgb="00FF0000"/>
      <rgbColor rgb="004FA800"/>
      <rgbColor rgb="007D559A"/>
      <rgbColor rgb="00DE8703"/>
      <rgbColor rgb="009F9F9F"/>
      <rgbColor rgb="003F3F3F"/>
      <rgbColor rgb="007FABD2"/>
      <rgbColor rgb="00FCC917"/>
      <rgbColor rgb="00BFD5E9"/>
      <rgbColor rgb="007BBE40"/>
      <rgbColor rgb="009F9F9F"/>
      <rgbColor rgb="00FDE48B"/>
      <rgbColor rgb="004081BC"/>
      <rgbColor rgb="00A88DBB"/>
      <rgbColor rgb="0040B9E7"/>
      <rgbColor rgb="00E6A542"/>
      <rgbColor rgb="00A7D37F"/>
      <rgbColor rgb="00EEC381"/>
      <rgbColor rgb="00C45562"/>
      <rgbColor rgb="00A9B0B6"/>
      <rgbColor rgb="007D559A"/>
      <rgbColor rgb="007FD0EF"/>
      <rgbColor rgb="00D78D96"/>
      <rgbColor rgb="00F7E1C0"/>
      <rgbColor rgb="00FEF1C5"/>
      <rgbColor rgb="00D3E9BF"/>
      <rgbColor rgb="00EBC6CB"/>
      <rgbColor rgb="00BFE8F7"/>
      <rgbColor rgb="00DEC6DD"/>
      <rgbColor rgb="00BFE0E2"/>
      <rgbColor rgb="00C45562"/>
      <rgbColor rgb="00E6A542"/>
      <rgbColor rgb="007BBE40"/>
      <rgbColor rgb="007FC2C4"/>
      <rgbColor rgb="0040A3A7"/>
      <rgbColor rgb="0000858A"/>
      <rgbColor rgb="00521C78"/>
      <rgbColor rgb="006F6F6F"/>
      <rgbColor rgb="00EE8FC0"/>
      <rgbColor rgb="00FDD651"/>
      <rgbColor rgb="00BFD5E9"/>
      <rgbColor rgb="007FABD2"/>
      <rgbColor rgb="004081BC"/>
      <rgbColor rgb="00A88DBB"/>
      <rgbColor rgb="00000000"/>
      <rgbColor rgb="00FFFFFF"/>
    </indexedColors>
    <mruColors>
      <color rgb="FF008AB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63" Type="http://schemas.openxmlformats.org/officeDocument/2006/relationships/externalLink" Target="externalLinks/externalLink56.xml"/><Relationship Id="rId68" Type="http://schemas.openxmlformats.org/officeDocument/2006/relationships/externalLink" Target="externalLinks/externalLink61.xml"/><Relationship Id="rId76" Type="http://schemas.openxmlformats.org/officeDocument/2006/relationships/externalLink" Target="externalLinks/externalLink69.xml"/><Relationship Id="rId84" Type="http://schemas.openxmlformats.org/officeDocument/2006/relationships/externalLink" Target="externalLinks/externalLink77.xml"/><Relationship Id="rId7" Type="http://schemas.openxmlformats.org/officeDocument/2006/relationships/worksheet" Target="worksheets/sheet7.xml"/><Relationship Id="rId71" Type="http://schemas.openxmlformats.org/officeDocument/2006/relationships/externalLink" Target="externalLinks/externalLink64.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66" Type="http://schemas.openxmlformats.org/officeDocument/2006/relationships/externalLink" Target="externalLinks/externalLink59.xml"/><Relationship Id="rId74" Type="http://schemas.openxmlformats.org/officeDocument/2006/relationships/externalLink" Target="externalLinks/externalLink67.xml"/><Relationship Id="rId79" Type="http://schemas.openxmlformats.org/officeDocument/2006/relationships/externalLink" Target="externalLinks/externalLink72.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externalLink" Target="externalLinks/externalLink57.xml"/><Relationship Id="rId69" Type="http://schemas.openxmlformats.org/officeDocument/2006/relationships/externalLink" Target="externalLinks/externalLink62.xml"/><Relationship Id="rId77" Type="http://schemas.openxmlformats.org/officeDocument/2006/relationships/externalLink" Target="externalLinks/externalLink7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80" Type="http://schemas.openxmlformats.org/officeDocument/2006/relationships/externalLink" Target="externalLinks/externalLink73.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 Id="rId67" Type="http://schemas.openxmlformats.org/officeDocument/2006/relationships/externalLink" Target="externalLinks/externalLink60.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externalLink" Target="externalLinks/externalLink55.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83" Type="http://schemas.openxmlformats.org/officeDocument/2006/relationships/externalLink" Target="externalLinks/externalLink76.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81" Type="http://schemas.openxmlformats.org/officeDocument/2006/relationships/externalLink" Target="externalLinks/externalLink74.xml"/><Relationship Id="rId86"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3063592954495165E-2"/>
          <c:y val="9.3312247174177229E-2"/>
          <c:w val="0.9039113987269809"/>
          <c:h val="0.76946086657200652"/>
        </c:manualLayout>
      </c:layout>
      <c:areaChart>
        <c:grouping val="stacked"/>
        <c:varyColors val="0"/>
        <c:ser>
          <c:idx val="0"/>
          <c:order val="0"/>
          <c:tx>
            <c:strRef>
              <c:f>'Excess net capital'!$E$11</c:f>
              <c:strCache>
                <c:ptCount val="1"/>
                <c:pt idx="0">
                  <c:v>Subordinated Debt</c:v>
                </c:pt>
              </c:strCache>
            </c:strRef>
          </c:tx>
          <c:cat>
            <c:numRef>
              <c:f>'Excess net capital'!$C$12:$C$85</c:f>
              <c:numCache>
                <c:formatCode>d\-mmm\-yy</c:formatCode>
                <c:ptCount val="74"/>
                <c:pt idx="0">
                  <c:v>42373</c:v>
                </c:pt>
                <c:pt idx="1">
                  <c:v>42374</c:v>
                </c:pt>
                <c:pt idx="2">
                  <c:v>42375</c:v>
                </c:pt>
                <c:pt idx="3">
                  <c:v>42376</c:v>
                </c:pt>
                <c:pt idx="4">
                  <c:v>42377</c:v>
                </c:pt>
                <c:pt idx="5">
                  <c:v>42380</c:v>
                </c:pt>
                <c:pt idx="6">
                  <c:v>42381</c:v>
                </c:pt>
                <c:pt idx="7">
                  <c:v>42382</c:v>
                </c:pt>
                <c:pt idx="8">
                  <c:v>42383</c:v>
                </c:pt>
                <c:pt idx="9">
                  <c:v>42384</c:v>
                </c:pt>
                <c:pt idx="10">
                  <c:v>42388</c:v>
                </c:pt>
                <c:pt idx="11">
                  <c:v>42389</c:v>
                </c:pt>
                <c:pt idx="12">
                  <c:v>42390</c:v>
                </c:pt>
                <c:pt idx="13">
                  <c:v>42391</c:v>
                </c:pt>
                <c:pt idx="14">
                  <c:v>42394</c:v>
                </c:pt>
                <c:pt idx="15">
                  <c:v>42395</c:v>
                </c:pt>
                <c:pt idx="16">
                  <c:v>42396</c:v>
                </c:pt>
                <c:pt idx="17">
                  <c:v>42397</c:v>
                </c:pt>
                <c:pt idx="18">
                  <c:v>42398</c:v>
                </c:pt>
                <c:pt idx="19">
                  <c:v>42401</c:v>
                </c:pt>
                <c:pt idx="20">
                  <c:v>42402</c:v>
                </c:pt>
                <c:pt idx="21">
                  <c:v>42403</c:v>
                </c:pt>
                <c:pt idx="22">
                  <c:v>42404</c:v>
                </c:pt>
                <c:pt idx="23">
                  <c:v>42405</c:v>
                </c:pt>
                <c:pt idx="24">
                  <c:v>42408</c:v>
                </c:pt>
                <c:pt idx="25">
                  <c:v>42409</c:v>
                </c:pt>
                <c:pt idx="26">
                  <c:v>42410</c:v>
                </c:pt>
                <c:pt idx="27">
                  <c:v>42411</c:v>
                </c:pt>
                <c:pt idx="28">
                  <c:v>42412</c:v>
                </c:pt>
                <c:pt idx="29">
                  <c:v>42416</c:v>
                </c:pt>
                <c:pt idx="30">
                  <c:v>42417</c:v>
                </c:pt>
                <c:pt idx="31">
                  <c:v>42418</c:v>
                </c:pt>
                <c:pt idx="32">
                  <c:v>42419</c:v>
                </c:pt>
                <c:pt idx="33">
                  <c:v>42422</c:v>
                </c:pt>
                <c:pt idx="34">
                  <c:v>42423</c:v>
                </c:pt>
                <c:pt idx="35">
                  <c:v>42424</c:v>
                </c:pt>
                <c:pt idx="36">
                  <c:v>42425</c:v>
                </c:pt>
                <c:pt idx="37">
                  <c:v>42426</c:v>
                </c:pt>
                <c:pt idx="38">
                  <c:v>42429</c:v>
                </c:pt>
                <c:pt idx="39">
                  <c:v>42430</c:v>
                </c:pt>
                <c:pt idx="40">
                  <c:v>42431</c:v>
                </c:pt>
                <c:pt idx="41">
                  <c:v>42432</c:v>
                </c:pt>
                <c:pt idx="42">
                  <c:v>42433</c:v>
                </c:pt>
                <c:pt idx="43">
                  <c:v>42436</c:v>
                </c:pt>
                <c:pt idx="44">
                  <c:v>42437</c:v>
                </c:pt>
                <c:pt idx="45">
                  <c:v>42438</c:v>
                </c:pt>
                <c:pt idx="46">
                  <c:v>42439</c:v>
                </c:pt>
                <c:pt idx="47">
                  <c:v>42440</c:v>
                </c:pt>
                <c:pt idx="48">
                  <c:v>42443</c:v>
                </c:pt>
                <c:pt idx="49">
                  <c:v>42444</c:v>
                </c:pt>
                <c:pt idx="50">
                  <c:v>42445</c:v>
                </c:pt>
                <c:pt idx="51">
                  <c:v>42446</c:v>
                </c:pt>
                <c:pt idx="52">
                  <c:v>42447</c:v>
                </c:pt>
                <c:pt idx="53">
                  <c:v>42450</c:v>
                </c:pt>
                <c:pt idx="54">
                  <c:v>42451</c:v>
                </c:pt>
                <c:pt idx="55">
                  <c:v>42452</c:v>
                </c:pt>
                <c:pt idx="56">
                  <c:v>42453</c:v>
                </c:pt>
                <c:pt idx="57">
                  <c:v>42457</c:v>
                </c:pt>
                <c:pt idx="58">
                  <c:v>42458</c:v>
                </c:pt>
                <c:pt idx="59">
                  <c:v>42459</c:v>
                </c:pt>
                <c:pt idx="60">
                  <c:v>42460</c:v>
                </c:pt>
                <c:pt idx="61">
                  <c:v>42461</c:v>
                </c:pt>
                <c:pt idx="62">
                  <c:v>42464</c:v>
                </c:pt>
                <c:pt idx="63">
                  <c:v>42465</c:v>
                </c:pt>
                <c:pt idx="64">
                  <c:v>42466</c:v>
                </c:pt>
                <c:pt idx="65">
                  <c:v>42467</c:v>
                </c:pt>
                <c:pt idx="66">
                  <c:v>42468</c:v>
                </c:pt>
                <c:pt idx="67">
                  <c:v>42471</c:v>
                </c:pt>
                <c:pt idx="68">
                  <c:v>42472</c:v>
                </c:pt>
                <c:pt idx="69">
                  <c:v>42473</c:v>
                </c:pt>
                <c:pt idx="70">
                  <c:v>42474</c:v>
                </c:pt>
                <c:pt idx="71">
                  <c:v>42475</c:v>
                </c:pt>
                <c:pt idx="72">
                  <c:v>42478</c:v>
                </c:pt>
                <c:pt idx="73">
                  <c:v>42479</c:v>
                </c:pt>
              </c:numCache>
            </c:numRef>
          </c:cat>
          <c:val>
            <c:numRef>
              <c:f>'Excess net capital'!$E$12:$E$85</c:f>
              <c:numCache>
                <c:formatCode>#,##0_);[Red]\(#,##0\)</c:formatCode>
                <c:ptCount val="74"/>
                <c:pt idx="0">
                  <c:v>0</c:v>
                </c:pt>
                <c:pt idx="1">
                  <c:v>0</c:v>
                </c:pt>
                <c:pt idx="2">
                  <c:v>0</c:v>
                </c:pt>
                <c:pt idx="3">
                  <c:v>0</c:v>
                </c:pt>
                <c:pt idx="4">
                  <c:v>0</c:v>
                </c:pt>
                <c:pt idx="5">
                  <c:v>290000000</c:v>
                </c:pt>
                <c:pt idx="6">
                  <c:v>1120000000</c:v>
                </c:pt>
                <c:pt idx="7">
                  <c:v>1120000000</c:v>
                </c:pt>
                <c:pt idx="8">
                  <c:v>1119999999.5</c:v>
                </c:pt>
                <c:pt idx="9">
                  <c:v>400000000</c:v>
                </c:pt>
                <c:pt idx="10">
                  <c:v>400000000</c:v>
                </c:pt>
                <c:pt idx="11">
                  <c:v>400000000</c:v>
                </c:pt>
                <c:pt idx="12">
                  <c:v>400080000</c:v>
                </c:pt>
                <c:pt idx="13">
                  <c:v>80000</c:v>
                </c:pt>
                <c:pt idx="14">
                  <c:v>204967000</c:v>
                </c:pt>
                <c:pt idx="15">
                  <c:v>204967000</c:v>
                </c:pt>
                <c:pt idx="16">
                  <c:v>204967000</c:v>
                </c:pt>
                <c:pt idx="17">
                  <c:v>289967000</c:v>
                </c:pt>
                <c:pt idx="18">
                  <c:v>290000000</c:v>
                </c:pt>
                <c:pt idx="19">
                  <c:v>290000000</c:v>
                </c:pt>
                <c:pt idx="20">
                  <c:v>290000000</c:v>
                </c:pt>
                <c:pt idx="21">
                  <c:v>290000000</c:v>
                </c:pt>
                <c:pt idx="22">
                  <c:v>290000000</c:v>
                </c:pt>
                <c:pt idx="23">
                  <c:v>290000000</c:v>
                </c:pt>
                <c:pt idx="24">
                  <c:v>290000000</c:v>
                </c:pt>
                <c:pt idx="25">
                  <c:v>290000000</c:v>
                </c:pt>
                <c:pt idx="26">
                  <c:v>290000000</c:v>
                </c:pt>
                <c:pt idx="27">
                  <c:v>290000000</c:v>
                </c:pt>
                <c:pt idx="28">
                  <c:v>0</c:v>
                </c:pt>
                <c:pt idx="29">
                  <c:v>0</c:v>
                </c:pt>
                <c:pt idx="30">
                  <c:v>344344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1140000000</c:v>
                </c:pt>
                <c:pt idx="73">
                  <c:v>1140000000</c:v>
                </c:pt>
              </c:numCache>
            </c:numRef>
          </c:val>
        </c:ser>
        <c:dLbls>
          <c:showLegendKey val="0"/>
          <c:showVal val="0"/>
          <c:showCatName val="0"/>
          <c:showSerName val="0"/>
          <c:showPercent val="0"/>
          <c:showBubbleSize val="0"/>
        </c:dLbls>
        <c:axId val="48510464"/>
        <c:axId val="48512000"/>
      </c:areaChart>
      <c:lineChart>
        <c:grouping val="standard"/>
        <c:varyColors val="0"/>
        <c:ser>
          <c:idx val="1"/>
          <c:order val="1"/>
          <c:tx>
            <c:strRef>
              <c:f>'Excess net capital'!$H$11</c:f>
              <c:strCache>
                <c:ptCount val="1"/>
                <c:pt idx="0">
                  <c:v>Available  Capital </c:v>
                </c:pt>
              </c:strCache>
            </c:strRef>
          </c:tx>
          <c:marker>
            <c:symbol val="none"/>
          </c:marker>
          <c:cat>
            <c:numRef>
              <c:f>'Excess net capital'!$C$12:$C$85</c:f>
              <c:numCache>
                <c:formatCode>d\-mmm\-yy</c:formatCode>
                <c:ptCount val="74"/>
                <c:pt idx="0">
                  <c:v>42373</c:v>
                </c:pt>
                <c:pt idx="1">
                  <c:v>42374</c:v>
                </c:pt>
                <c:pt idx="2">
                  <c:v>42375</c:v>
                </c:pt>
                <c:pt idx="3">
                  <c:v>42376</c:v>
                </c:pt>
                <c:pt idx="4">
                  <c:v>42377</c:v>
                </c:pt>
                <c:pt idx="5">
                  <c:v>42380</c:v>
                </c:pt>
                <c:pt idx="6">
                  <c:v>42381</c:v>
                </c:pt>
                <c:pt idx="7">
                  <c:v>42382</c:v>
                </c:pt>
                <c:pt idx="8">
                  <c:v>42383</c:v>
                </c:pt>
                <c:pt idx="9">
                  <c:v>42384</c:v>
                </c:pt>
                <c:pt idx="10">
                  <c:v>42388</c:v>
                </c:pt>
                <c:pt idx="11">
                  <c:v>42389</c:v>
                </c:pt>
                <c:pt idx="12">
                  <c:v>42390</c:v>
                </c:pt>
                <c:pt idx="13">
                  <c:v>42391</c:v>
                </c:pt>
                <c:pt idx="14">
                  <c:v>42394</c:v>
                </c:pt>
                <c:pt idx="15">
                  <c:v>42395</c:v>
                </c:pt>
                <c:pt idx="16">
                  <c:v>42396</c:v>
                </c:pt>
                <c:pt idx="17">
                  <c:v>42397</c:v>
                </c:pt>
                <c:pt idx="18">
                  <c:v>42398</c:v>
                </c:pt>
                <c:pt idx="19">
                  <c:v>42401</c:v>
                </c:pt>
                <c:pt idx="20">
                  <c:v>42402</c:v>
                </c:pt>
                <c:pt idx="21">
                  <c:v>42403</c:v>
                </c:pt>
                <c:pt idx="22">
                  <c:v>42404</c:v>
                </c:pt>
                <c:pt idx="23">
                  <c:v>42405</c:v>
                </c:pt>
                <c:pt idx="24">
                  <c:v>42408</c:v>
                </c:pt>
                <c:pt idx="25">
                  <c:v>42409</c:v>
                </c:pt>
                <c:pt idx="26">
                  <c:v>42410</c:v>
                </c:pt>
                <c:pt idx="27">
                  <c:v>42411</c:v>
                </c:pt>
                <c:pt idx="28">
                  <c:v>42412</c:v>
                </c:pt>
                <c:pt idx="29">
                  <c:v>42416</c:v>
                </c:pt>
                <c:pt idx="30">
                  <c:v>42417</c:v>
                </c:pt>
                <c:pt idx="31">
                  <c:v>42418</c:v>
                </c:pt>
                <c:pt idx="32">
                  <c:v>42419</c:v>
                </c:pt>
                <c:pt idx="33">
                  <c:v>42422</c:v>
                </c:pt>
                <c:pt idx="34">
                  <c:v>42423</c:v>
                </c:pt>
                <c:pt idx="35">
                  <c:v>42424</c:v>
                </c:pt>
                <c:pt idx="36">
                  <c:v>42425</c:v>
                </c:pt>
                <c:pt idx="37">
                  <c:v>42426</c:v>
                </c:pt>
                <c:pt idx="38">
                  <c:v>42429</c:v>
                </c:pt>
                <c:pt idx="39">
                  <c:v>42430</c:v>
                </c:pt>
                <c:pt idx="40">
                  <c:v>42431</c:v>
                </c:pt>
                <c:pt idx="41">
                  <c:v>42432</c:v>
                </c:pt>
                <c:pt idx="42">
                  <c:v>42433</c:v>
                </c:pt>
                <c:pt idx="43">
                  <c:v>42436</c:v>
                </c:pt>
                <c:pt idx="44">
                  <c:v>42437</c:v>
                </c:pt>
                <c:pt idx="45">
                  <c:v>42438</c:v>
                </c:pt>
                <c:pt idx="46">
                  <c:v>42439</c:v>
                </c:pt>
                <c:pt idx="47">
                  <c:v>42440</c:v>
                </c:pt>
                <c:pt idx="48">
                  <c:v>42443</c:v>
                </c:pt>
                <c:pt idx="49">
                  <c:v>42444</c:v>
                </c:pt>
                <c:pt idx="50">
                  <c:v>42445</c:v>
                </c:pt>
                <c:pt idx="51">
                  <c:v>42446</c:v>
                </c:pt>
                <c:pt idx="52">
                  <c:v>42447</c:v>
                </c:pt>
                <c:pt idx="53">
                  <c:v>42450</c:v>
                </c:pt>
                <c:pt idx="54">
                  <c:v>42451</c:v>
                </c:pt>
                <c:pt idx="55">
                  <c:v>42452</c:v>
                </c:pt>
                <c:pt idx="56">
                  <c:v>42453</c:v>
                </c:pt>
                <c:pt idx="57">
                  <c:v>42457</c:v>
                </c:pt>
                <c:pt idx="58">
                  <c:v>42458</c:v>
                </c:pt>
                <c:pt idx="59">
                  <c:v>42459</c:v>
                </c:pt>
                <c:pt idx="60">
                  <c:v>42460</c:v>
                </c:pt>
                <c:pt idx="61">
                  <c:v>42461</c:v>
                </c:pt>
                <c:pt idx="62">
                  <c:v>42464</c:v>
                </c:pt>
                <c:pt idx="63">
                  <c:v>42465</c:v>
                </c:pt>
                <c:pt idx="64">
                  <c:v>42466</c:v>
                </c:pt>
                <c:pt idx="65">
                  <c:v>42467</c:v>
                </c:pt>
                <c:pt idx="66">
                  <c:v>42468</c:v>
                </c:pt>
                <c:pt idx="67">
                  <c:v>42471</c:v>
                </c:pt>
                <c:pt idx="68">
                  <c:v>42472</c:v>
                </c:pt>
                <c:pt idx="69">
                  <c:v>42473</c:v>
                </c:pt>
                <c:pt idx="70">
                  <c:v>42474</c:v>
                </c:pt>
                <c:pt idx="71">
                  <c:v>42475</c:v>
                </c:pt>
                <c:pt idx="72">
                  <c:v>42478</c:v>
                </c:pt>
                <c:pt idx="73">
                  <c:v>42479</c:v>
                </c:pt>
              </c:numCache>
            </c:numRef>
          </c:cat>
          <c:val>
            <c:numRef>
              <c:f>'Excess net capital'!$H$12:$H$85</c:f>
              <c:numCache>
                <c:formatCode>#,##0_);[Red]\(#,##0\)</c:formatCode>
                <c:ptCount val="74"/>
                <c:pt idx="0">
                  <c:v>186040779.50491735</c:v>
                </c:pt>
                <c:pt idx="1">
                  <c:v>185701239.00983471</c:v>
                </c:pt>
                <c:pt idx="2">
                  <c:v>167187146.33293387</c:v>
                </c:pt>
                <c:pt idx="3">
                  <c:v>167626434.11057851</c:v>
                </c:pt>
                <c:pt idx="4">
                  <c:v>167329122.73844698</c:v>
                </c:pt>
                <c:pt idx="5">
                  <c:v>458048094.68613636</c:v>
                </c:pt>
                <c:pt idx="6">
                  <c:v>1288453499.3838258</c:v>
                </c:pt>
                <c:pt idx="7">
                  <c:v>1288146403.3315151</c:v>
                </c:pt>
                <c:pt idx="8">
                  <c:v>1299555509.4382954</c:v>
                </c:pt>
                <c:pt idx="9">
                  <c:v>579238347.9314394</c:v>
                </c:pt>
                <c:pt idx="10">
                  <c:v>579048607.92458332</c:v>
                </c:pt>
                <c:pt idx="11">
                  <c:v>578731445.91772723</c:v>
                </c:pt>
                <c:pt idx="12">
                  <c:v>573304134.91087127</c:v>
                </c:pt>
                <c:pt idx="13">
                  <c:v>172986972.90401515</c:v>
                </c:pt>
                <c:pt idx="14">
                  <c:v>377638450.8971591</c:v>
                </c:pt>
                <c:pt idx="15">
                  <c:v>377321288.89030302</c:v>
                </c:pt>
                <c:pt idx="16">
                  <c:v>377037542.88344693</c:v>
                </c:pt>
                <c:pt idx="17">
                  <c:v>463596631.7565909</c:v>
                </c:pt>
                <c:pt idx="18">
                  <c:v>464884108.9797349</c:v>
                </c:pt>
                <c:pt idx="19">
                  <c:v>464580152.09287882</c:v>
                </c:pt>
                <c:pt idx="20">
                  <c:v>471867157.56800002</c:v>
                </c:pt>
                <c:pt idx="21">
                  <c:v>471579780.73699999</c:v>
                </c:pt>
                <c:pt idx="22">
                  <c:v>469896103.40600002</c:v>
                </c:pt>
                <c:pt idx="23">
                  <c:v>469608726.57500005</c:v>
                </c:pt>
                <c:pt idx="24">
                  <c:v>469321349.74400002</c:v>
                </c:pt>
                <c:pt idx="25">
                  <c:v>469033972.91299999</c:v>
                </c:pt>
                <c:pt idx="26">
                  <c:v>468746596.08200002</c:v>
                </c:pt>
                <c:pt idx="27">
                  <c:v>468459219.25100005</c:v>
                </c:pt>
                <c:pt idx="28">
                  <c:v>178171842.41999999</c:v>
                </c:pt>
                <c:pt idx="29">
                  <c:v>178046559.33899999</c:v>
                </c:pt>
                <c:pt idx="30">
                  <c:v>178103526.50799999</c:v>
                </c:pt>
                <c:pt idx="31">
                  <c:v>177471805.67699999</c:v>
                </c:pt>
                <c:pt idx="32">
                  <c:v>177184428.84599999</c:v>
                </c:pt>
                <c:pt idx="33">
                  <c:v>176897052.01499999</c:v>
                </c:pt>
                <c:pt idx="34">
                  <c:v>176609675.18399999</c:v>
                </c:pt>
                <c:pt idx="35">
                  <c:v>176322298.35299999</c:v>
                </c:pt>
                <c:pt idx="36">
                  <c:v>176223734.27199998</c:v>
                </c:pt>
                <c:pt idx="37">
                  <c:v>175936357.44099998</c:v>
                </c:pt>
                <c:pt idx="38">
                  <c:v>177220619.84</c:v>
                </c:pt>
                <c:pt idx="39">
                  <c:v>173925830.77500001</c:v>
                </c:pt>
                <c:pt idx="40">
                  <c:v>173010961.09</c:v>
                </c:pt>
                <c:pt idx="41">
                  <c:v>172096091.405</c:v>
                </c:pt>
                <c:pt idx="42">
                  <c:v>173106177.72</c:v>
                </c:pt>
                <c:pt idx="43">
                  <c:v>173868295.535</c:v>
                </c:pt>
                <c:pt idx="44">
                  <c:v>172953425.85000002</c:v>
                </c:pt>
                <c:pt idx="45">
                  <c:v>172403831.16500002</c:v>
                </c:pt>
                <c:pt idx="46">
                  <c:v>171488961.48000002</c:v>
                </c:pt>
                <c:pt idx="47">
                  <c:v>171889047.29500002</c:v>
                </c:pt>
                <c:pt idx="48">
                  <c:v>170974177.61000001</c:v>
                </c:pt>
                <c:pt idx="49">
                  <c:v>170059307.92500001</c:v>
                </c:pt>
                <c:pt idx="50">
                  <c:v>169144438.24000001</c:v>
                </c:pt>
                <c:pt idx="51">
                  <c:v>168229568.55500001</c:v>
                </c:pt>
                <c:pt idx="52">
                  <c:v>167314698.87</c:v>
                </c:pt>
                <c:pt idx="53">
                  <c:v>166399829.185</c:v>
                </c:pt>
                <c:pt idx="54">
                  <c:v>165484959.5</c:v>
                </c:pt>
                <c:pt idx="55">
                  <c:v>164789836.815</c:v>
                </c:pt>
                <c:pt idx="56">
                  <c:v>163094305.13</c:v>
                </c:pt>
                <c:pt idx="57">
                  <c:v>162179435.44500002</c:v>
                </c:pt>
                <c:pt idx="58">
                  <c:v>162670428.76000002</c:v>
                </c:pt>
                <c:pt idx="59">
                  <c:v>161266309.07500002</c:v>
                </c:pt>
                <c:pt idx="60">
                  <c:v>170871494.42500001</c:v>
                </c:pt>
                <c:pt idx="61">
                  <c:v>175116916.53301588</c:v>
                </c:pt>
                <c:pt idx="62">
                  <c:v>174710960.60603175</c:v>
                </c:pt>
                <c:pt idx="63">
                  <c:v>177491185.17904761</c:v>
                </c:pt>
                <c:pt idx="64">
                  <c:v>177085229.25206351</c:v>
                </c:pt>
                <c:pt idx="65">
                  <c:v>180041094.32507938</c:v>
                </c:pt>
                <c:pt idx="66">
                  <c:v>179946276.89809525</c:v>
                </c:pt>
                <c:pt idx="67">
                  <c:v>179540320.97111112</c:v>
                </c:pt>
                <c:pt idx="68">
                  <c:v>179134365.04412699</c:v>
                </c:pt>
                <c:pt idx="69">
                  <c:v>178728409.11714286</c:v>
                </c:pt>
                <c:pt idx="70">
                  <c:v>178736064.19015875</c:v>
                </c:pt>
                <c:pt idx="71">
                  <c:v>178530107.26317462</c:v>
                </c:pt>
                <c:pt idx="72">
                  <c:v>1318124151.3361905</c:v>
                </c:pt>
                <c:pt idx="73">
                  <c:v>1317743133.4092064</c:v>
                </c:pt>
              </c:numCache>
            </c:numRef>
          </c:val>
          <c:smooth val="0"/>
        </c:ser>
        <c:ser>
          <c:idx val="2"/>
          <c:order val="2"/>
          <c:tx>
            <c:strRef>
              <c:f>'Excess net capital'!$L$11</c:f>
              <c:strCache>
                <c:ptCount val="1"/>
                <c:pt idx="0">
                  <c:v>Total Intraday Charges</c:v>
                </c:pt>
              </c:strCache>
            </c:strRef>
          </c:tx>
          <c:spPr>
            <a:ln>
              <a:solidFill>
                <a:srgbClr val="FF0000"/>
              </a:solidFill>
            </a:ln>
          </c:spPr>
          <c:marker>
            <c:symbol val="none"/>
          </c:marker>
          <c:cat>
            <c:numRef>
              <c:f>'Excess net capital'!$C$12:$C$85</c:f>
              <c:numCache>
                <c:formatCode>d\-mmm\-yy</c:formatCode>
                <c:ptCount val="74"/>
                <c:pt idx="0">
                  <c:v>42373</c:v>
                </c:pt>
                <c:pt idx="1">
                  <c:v>42374</c:v>
                </c:pt>
                <c:pt idx="2">
                  <c:v>42375</c:v>
                </c:pt>
                <c:pt idx="3">
                  <c:v>42376</c:v>
                </c:pt>
                <c:pt idx="4">
                  <c:v>42377</c:v>
                </c:pt>
                <c:pt idx="5">
                  <c:v>42380</c:v>
                </c:pt>
                <c:pt idx="6">
                  <c:v>42381</c:v>
                </c:pt>
                <c:pt idx="7">
                  <c:v>42382</c:v>
                </c:pt>
                <c:pt idx="8">
                  <c:v>42383</c:v>
                </c:pt>
                <c:pt idx="9">
                  <c:v>42384</c:v>
                </c:pt>
                <c:pt idx="10">
                  <c:v>42388</c:v>
                </c:pt>
                <c:pt idx="11">
                  <c:v>42389</c:v>
                </c:pt>
                <c:pt idx="12">
                  <c:v>42390</c:v>
                </c:pt>
                <c:pt idx="13">
                  <c:v>42391</c:v>
                </c:pt>
                <c:pt idx="14">
                  <c:v>42394</c:v>
                </c:pt>
                <c:pt idx="15">
                  <c:v>42395</c:v>
                </c:pt>
                <c:pt idx="16">
                  <c:v>42396</c:v>
                </c:pt>
                <c:pt idx="17">
                  <c:v>42397</c:v>
                </c:pt>
                <c:pt idx="18">
                  <c:v>42398</c:v>
                </c:pt>
                <c:pt idx="19">
                  <c:v>42401</c:v>
                </c:pt>
                <c:pt idx="20">
                  <c:v>42402</c:v>
                </c:pt>
                <c:pt idx="21">
                  <c:v>42403</c:v>
                </c:pt>
                <c:pt idx="22">
                  <c:v>42404</c:v>
                </c:pt>
                <c:pt idx="23">
                  <c:v>42405</c:v>
                </c:pt>
                <c:pt idx="24">
                  <c:v>42408</c:v>
                </c:pt>
                <c:pt idx="25">
                  <c:v>42409</c:v>
                </c:pt>
                <c:pt idx="26">
                  <c:v>42410</c:v>
                </c:pt>
                <c:pt idx="27">
                  <c:v>42411</c:v>
                </c:pt>
                <c:pt idx="28">
                  <c:v>42412</c:v>
                </c:pt>
                <c:pt idx="29">
                  <c:v>42416</c:v>
                </c:pt>
                <c:pt idx="30">
                  <c:v>42417</c:v>
                </c:pt>
                <c:pt idx="31">
                  <c:v>42418</c:v>
                </c:pt>
                <c:pt idx="32">
                  <c:v>42419</c:v>
                </c:pt>
                <c:pt idx="33">
                  <c:v>42422</c:v>
                </c:pt>
                <c:pt idx="34">
                  <c:v>42423</c:v>
                </c:pt>
                <c:pt idx="35">
                  <c:v>42424</c:v>
                </c:pt>
                <c:pt idx="36">
                  <c:v>42425</c:v>
                </c:pt>
                <c:pt idx="37">
                  <c:v>42426</c:v>
                </c:pt>
                <c:pt idx="38">
                  <c:v>42429</c:v>
                </c:pt>
                <c:pt idx="39">
                  <c:v>42430</c:v>
                </c:pt>
                <c:pt idx="40">
                  <c:v>42431</c:v>
                </c:pt>
                <c:pt idx="41">
                  <c:v>42432</c:v>
                </c:pt>
                <c:pt idx="42">
                  <c:v>42433</c:v>
                </c:pt>
                <c:pt idx="43">
                  <c:v>42436</c:v>
                </c:pt>
                <c:pt idx="44">
                  <c:v>42437</c:v>
                </c:pt>
                <c:pt idx="45">
                  <c:v>42438</c:v>
                </c:pt>
                <c:pt idx="46">
                  <c:v>42439</c:v>
                </c:pt>
                <c:pt idx="47">
                  <c:v>42440</c:v>
                </c:pt>
                <c:pt idx="48">
                  <c:v>42443</c:v>
                </c:pt>
                <c:pt idx="49">
                  <c:v>42444</c:v>
                </c:pt>
                <c:pt idx="50">
                  <c:v>42445</c:v>
                </c:pt>
                <c:pt idx="51">
                  <c:v>42446</c:v>
                </c:pt>
                <c:pt idx="52">
                  <c:v>42447</c:v>
                </c:pt>
                <c:pt idx="53">
                  <c:v>42450</c:v>
                </c:pt>
                <c:pt idx="54">
                  <c:v>42451</c:v>
                </c:pt>
                <c:pt idx="55">
                  <c:v>42452</c:v>
                </c:pt>
                <c:pt idx="56">
                  <c:v>42453</c:v>
                </c:pt>
                <c:pt idx="57">
                  <c:v>42457</c:v>
                </c:pt>
                <c:pt idx="58">
                  <c:v>42458</c:v>
                </c:pt>
                <c:pt idx="59">
                  <c:v>42459</c:v>
                </c:pt>
                <c:pt idx="60">
                  <c:v>42460</c:v>
                </c:pt>
                <c:pt idx="61">
                  <c:v>42461</c:v>
                </c:pt>
                <c:pt idx="62">
                  <c:v>42464</c:v>
                </c:pt>
                <c:pt idx="63">
                  <c:v>42465</c:v>
                </c:pt>
                <c:pt idx="64">
                  <c:v>42466</c:v>
                </c:pt>
                <c:pt idx="65">
                  <c:v>42467</c:v>
                </c:pt>
                <c:pt idx="66">
                  <c:v>42468</c:v>
                </c:pt>
                <c:pt idx="67">
                  <c:v>42471</c:v>
                </c:pt>
                <c:pt idx="68">
                  <c:v>42472</c:v>
                </c:pt>
                <c:pt idx="69">
                  <c:v>42473</c:v>
                </c:pt>
                <c:pt idx="70">
                  <c:v>42474</c:v>
                </c:pt>
                <c:pt idx="71">
                  <c:v>42475</c:v>
                </c:pt>
                <c:pt idx="72">
                  <c:v>42478</c:v>
                </c:pt>
                <c:pt idx="73">
                  <c:v>42479</c:v>
                </c:pt>
              </c:numCache>
            </c:numRef>
          </c:cat>
          <c:val>
            <c:numRef>
              <c:f>'Excess net capital'!$L$12:$L$85</c:f>
              <c:numCache>
                <c:formatCode>#,##0_);[Red]\(#,##0\)</c:formatCode>
                <c:ptCount val="74"/>
                <c:pt idx="0">
                  <c:v>49434389.443636678</c:v>
                </c:pt>
                <c:pt idx="1">
                  <c:v>94560590.72989732</c:v>
                </c:pt>
                <c:pt idx="2">
                  <c:v>49850383.437665813</c:v>
                </c:pt>
                <c:pt idx="3">
                  <c:v>54618230.989327669</c:v>
                </c:pt>
                <c:pt idx="4">
                  <c:v>83451732.247076243</c:v>
                </c:pt>
                <c:pt idx="5">
                  <c:v>51761832.640104868</c:v>
                </c:pt>
                <c:pt idx="6">
                  <c:v>126304096.59962483</c:v>
                </c:pt>
                <c:pt idx="7">
                  <c:v>385465780.98770893</c:v>
                </c:pt>
                <c:pt idx="8">
                  <c:v>52054713.424549334</c:v>
                </c:pt>
                <c:pt idx="9">
                  <c:v>51499646.220794082</c:v>
                </c:pt>
                <c:pt idx="10">
                  <c:v>66051157.72490032</c:v>
                </c:pt>
                <c:pt idx="11">
                  <c:v>59981043.287418962</c:v>
                </c:pt>
                <c:pt idx="12">
                  <c:v>48366245.181248143</c:v>
                </c:pt>
                <c:pt idx="13">
                  <c:v>52832595.271117344</c:v>
                </c:pt>
                <c:pt idx="14">
                  <c:v>42803090.064551815</c:v>
                </c:pt>
                <c:pt idx="15">
                  <c:v>49545694.248231873</c:v>
                </c:pt>
                <c:pt idx="16">
                  <c:v>47615073.05402033</c:v>
                </c:pt>
                <c:pt idx="17">
                  <c:v>420456384.28527039</c:v>
                </c:pt>
                <c:pt idx="18">
                  <c:v>110238332.44360289</c:v>
                </c:pt>
                <c:pt idx="19">
                  <c:v>49230169.5322593</c:v>
                </c:pt>
                <c:pt idx="20">
                  <c:v>50153308.826923162</c:v>
                </c:pt>
                <c:pt idx="21">
                  <c:v>48603142.055244595</c:v>
                </c:pt>
                <c:pt idx="22">
                  <c:v>47867060.512680821</c:v>
                </c:pt>
                <c:pt idx="23">
                  <c:v>47561408.515250251</c:v>
                </c:pt>
                <c:pt idx="24">
                  <c:v>46121126.124333791</c:v>
                </c:pt>
                <c:pt idx="25">
                  <c:v>48422364.922317065</c:v>
                </c:pt>
                <c:pt idx="26">
                  <c:v>50555477.990270548</c:v>
                </c:pt>
                <c:pt idx="27">
                  <c:v>59990568.192288451</c:v>
                </c:pt>
                <c:pt idx="28">
                  <c:v>63322794.692199282</c:v>
                </c:pt>
                <c:pt idx="29">
                  <c:v>73170419.577173337</c:v>
                </c:pt>
                <c:pt idx="30">
                  <c:v>62968992.126054138</c:v>
                </c:pt>
                <c:pt idx="31">
                  <c:v>69572393.983297125</c:v>
                </c:pt>
                <c:pt idx="32">
                  <c:v>63123282.484769419</c:v>
                </c:pt>
                <c:pt idx="33">
                  <c:v>66987402.124577224</c:v>
                </c:pt>
                <c:pt idx="34">
                  <c:v>61692519.569361083</c:v>
                </c:pt>
                <c:pt idx="35">
                  <c:v>65789075.502644829</c:v>
                </c:pt>
                <c:pt idx="36">
                  <c:v>85989107.371230423</c:v>
                </c:pt>
                <c:pt idx="37">
                  <c:v>69246829.586418509</c:v>
                </c:pt>
                <c:pt idx="38">
                  <c:v>77953270.458251819</c:v>
                </c:pt>
                <c:pt idx="39">
                  <c:v>93111829.235984772</c:v>
                </c:pt>
                <c:pt idx="40">
                  <c:v>66855428.774588473</c:v>
                </c:pt>
                <c:pt idx="41">
                  <c:v>70149916.988346487</c:v>
                </c:pt>
                <c:pt idx="42">
                  <c:v>72186937.303747267</c:v>
                </c:pt>
                <c:pt idx="43">
                  <c:v>130931319.3959821</c:v>
                </c:pt>
                <c:pt idx="44">
                  <c:v>72986954.635847032</c:v>
                </c:pt>
                <c:pt idx="45">
                  <c:v>116465526.6553974</c:v>
                </c:pt>
                <c:pt idx="46">
                  <c:v>66838732</c:v>
                </c:pt>
                <c:pt idx="47">
                  <c:v>63873966</c:v>
                </c:pt>
                <c:pt idx="48">
                  <c:v>69333184</c:v>
                </c:pt>
                <c:pt idx="49">
                  <c:v>66083790</c:v>
                </c:pt>
                <c:pt idx="50">
                  <c:v>58864460</c:v>
                </c:pt>
                <c:pt idx="51">
                  <c:v>71038151</c:v>
                </c:pt>
                <c:pt idx="52">
                  <c:v>61632173.613879606</c:v>
                </c:pt>
                <c:pt idx="53">
                  <c:v>61853022.128801554</c:v>
                </c:pt>
                <c:pt idx="54">
                  <c:v>72387531.998863682</c:v>
                </c:pt>
                <c:pt idx="55">
                  <c:v>64466665.571066499</c:v>
                </c:pt>
                <c:pt idx="56">
                  <c:v>65291017.270131782</c:v>
                </c:pt>
                <c:pt idx="57">
                  <c:v>67980075.921881646</c:v>
                </c:pt>
                <c:pt idx="58">
                  <c:v>67874978.1791756</c:v>
                </c:pt>
                <c:pt idx="59">
                  <c:v>73264903.774605781</c:v>
                </c:pt>
                <c:pt idx="60">
                  <c:v>66799591.059345454</c:v>
                </c:pt>
                <c:pt idx="61">
                  <c:v>68188918.756486207</c:v>
                </c:pt>
                <c:pt idx="62">
                  <c:v>105175917.95878661</c:v>
                </c:pt>
                <c:pt idx="63">
                  <c:v>77876779.859910578</c:v>
                </c:pt>
                <c:pt idx="64">
                  <c:v>73426040.186614215</c:v>
                </c:pt>
                <c:pt idx="65">
                  <c:v>73582159.833145261</c:v>
                </c:pt>
                <c:pt idx="66">
                  <c:v>73343600.923343122</c:v>
                </c:pt>
                <c:pt idx="67">
                  <c:v>75969401.395577282</c:v>
                </c:pt>
                <c:pt idx="68">
                  <c:v>68572965.829782754</c:v>
                </c:pt>
                <c:pt idx="69">
                  <c:v>73973322.925527066</c:v>
                </c:pt>
                <c:pt idx="70">
                  <c:v>71001182.305925265</c:v>
                </c:pt>
                <c:pt idx="71">
                  <c:v>69059536.360775799</c:v>
                </c:pt>
                <c:pt idx="72">
                  <c:v>74535947.509610355</c:v>
                </c:pt>
                <c:pt idx="73">
                  <c:v>1016549106.5672064</c:v>
                </c:pt>
              </c:numCache>
            </c:numRef>
          </c:val>
          <c:smooth val="0"/>
        </c:ser>
        <c:dLbls>
          <c:showLegendKey val="0"/>
          <c:showVal val="0"/>
          <c:showCatName val="0"/>
          <c:showSerName val="0"/>
          <c:showPercent val="0"/>
          <c:showBubbleSize val="0"/>
        </c:dLbls>
        <c:marker val="1"/>
        <c:smooth val="0"/>
        <c:axId val="48510464"/>
        <c:axId val="48512000"/>
      </c:lineChart>
      <c:dateAx>
        <c:axId val="48510464"/>
        <c:scaling>
          <c:orientation val="minMax"/>
        </c:scaling>
        <c:delete val="0"/>
        <c:axPos val="b"/>
        <c:numFmt formatCode="d\-mmm\-yy" sourceLinked="1"/>
        <c:majorTickMark val="out"/>
        <c:minorTickMark val="none"/>
        <c:tickLblPos val="nextTo"/>
        <c:crossAx val="48512000"/>
        <c:crosses val="autoZero"/>
        <c:auto val="1"/>
        <c:lblOffset val="100"/>
        <c:baseTimeUnit val="days"/>
      </c:dateAx>
      <c:valAx>
        <c:axId val="48512000"/>
        <c:scaling>
          <c:orientation val="minMax"/>
        </c:scaling>
        <c:delete val="0"/>
        <c:axPos val="l"/>
        <c:majorGridlines/>
        <c:numFmt formatCode="#,##0_);[Red]\(#,##0\)" sourceLinked="1"/>
        <c:majorTickMark val="out"/>
        <c:minorTickMark val="none"/>
        <c:tickLblPos val="nextTo"/>
        <c:crossAx val="48510464"/>
        <c:crosses val="autoZero"/>
        <c:crossBetween val="between"/>
        <c:dispUnits>
          <c:builtInUnit val="millions"/>
          <c:dispUnitsLbl/>
        </c:dispUnits>
      </c:valAx>
    </c:plotArea>
    <c:legend>
      <c:legendPos val="b"/>
      <c:layout>
        <c:manualLayout>
          <c:xMode val="edge"/>
          <c:yMode val="edge"/>
          <c:x val="0.35616336083078171"/>
          <c:y val="3.1778922789482036E-2"/>
          <c:w val="0.3495503187154187"/>
          <c:h val="3.5158639711398265E-2"/>
        </c:manualLayout>
      </c:layout>
      <c:overlay val="0"/>
      <c:txPr>
        <a:bodyPr/>
        <a:lstStyle/>
        <a:p>
          <a:pPr>
            <a:defRPr lang="en-US" sz="10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cid:image002.png@01D1B4F1.68D6A33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412375</xdr:colOff>
      <xdr:row>94</xdr:row>
      <xdr:rowOff>1122</xdr:rowOff>
    </xdr:from>
    <xdr:to>
      <xdr:col>11</xdr:col>
      <xdr:colOff>1013010</xdr:colOff>
      <xdr:row>128</xdr:row>
      <xdr:rowOff>56030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6</xdr:col>
      <xdr:colOff>114300</xdr:colOff>
      <xdr:row>40</xdr:row>
      <xdr:rowOff>95250</xdr:rowOff>
    </xdr:to>
    <xdr:pic>
      <xdr:nvPicPr>
        <xdr:cNvPr id="2" name="Picture 1" descr="cid:image002.png@01D1B4F1.68D6A33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50" y="723900"/>
          <a:ext cx="2552700" cy="592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Market%20Risk/Backtesting/Backup_weekly/Weekly%20Backtesting%202016/04292016/Backtesting_n98640_03052016235250_NYSIS_TOTTOT_30042015_29042016_147307124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122016.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132016.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14201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1520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192016.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02016.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120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220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52016.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6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788036/Downloads/3421cea7c2b443d59ac25cfa08f5211d.WzI3MTM2NTkxMDQwNDY2MTI0OCwyMjkzNDA2NjA3NjIwMTc3OTIsdHJ1ZSwidXMyLnZlbmEuaW86NDQzIl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72016.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82016.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292016.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12016.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2201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32016.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42016.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52016.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82016.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09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anxin.Cheng/Desktop/SHUSA/Risk%20Appetite/1%20Data/1%20Internal%20Data/Capital%20Plan/FRY-14A%20(AllBusinesses-AllScenarios)_04192016_Restatement_v1_WC.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02016.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12016.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22016.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62016.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72016.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82016.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192016.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222016.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232016.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24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042016.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252016.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262016.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2292016.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12016.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22016.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32016.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42016.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72016.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82016.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09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052016.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02016.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12016.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42016.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52016.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62016.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72016.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182016.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212016.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222016.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23201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062016.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242016.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282016.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292016.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302016.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3312016.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012016.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042016.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052016.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062016.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0720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072016.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082016.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12016.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22016.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32016.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42016.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52016.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82016.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419201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08201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SIS/netcapcomp0111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TST"/>
      <sheetName val="Report1"/>
      <sheetName val="Resultados Test1"/>
      <sheetName val="Report2"/>
      <sheetName val="Resultados Test2"/>
      <sheetName val="Report3"/>
      <sheetName val="Resultados Test3"/>
      <sheetName val="Report4"/>
      <sheetName val="Conciliacion P&amp;L Limpio"/>
      <sheetName val="Resultados Test4"/>
      <sheetName val="Sheet1"/>
    </sheetNames>
    <sheetDataSet>
      <sheetData sheetId="0"/>
      <sheetData sheetId="1"/>
      <sheetData sheetId="2">
        <row r="40">
          <cell r="M40" t="str">
            <v>MBKTST!I247:I266</v>
          </cell>
          <cell r="P40" t="str">
            <v>MBKTST!K247:K266</v>
          </cell>
        </row>
        <row r="41">
          <cell r="M41" t="str">
            <v>MBKTST!H247:H266</v>
          </cell>
          <cell r="P41" t="str">
            <v>MBKTST!J247:J266</v>
          </cell>
        </row>
        <row r="42">
          <cell r="M42" t="str">
            <v>MBKTST!G248:G267</v>
          </cell>
        </row>
        <row r="43">
          <cell r="M43" t="str">
            <v>MBKTST!H248:H267</v>
          </cell>
        </row>
        <row r="44">
          <cell r="M44" t="str">
            <v>MBKTST!F248:F267</v>
          </cell>
        </row>
        <row r="49">
          <cell r="M49" t="str">
            <v>MBKTST!u248:u267</v>
          </cell>
        </row>
      </sheetData>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168453499.38382575</v>
          </cell>
        </row>
        <row r="16">
          <cell r="C16">
            <v>1120000000</v>
          </cell>
        </row>
        <row r="17">
          <cell r="C17">
            <v>0</v>
          </cell>
        </row>
        <row r="23">
          <cell r="C23">
            <v>-5880943.4900000002</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168146403.33151516</v>
          </cell>
        </row>
        <row r="16">
          <cell r="C16">
            <v>1120000000</v>
          </cell>
        </row>
        <row r="17">
          <cell r="C17">
            <v>0</v>
          </cell>
        </row>
        <row r="23">
          <cell r="C23">
            <v>-5891833.8300000001</v>
          </cell>
        </row>
        <row r="25">
          <cell r="C25">
            <v>-6077793.0735513531</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179555509.93829545</v>
          </cell>
        </row>
        <row r="16">
          <cell r="C16">
            <v>1120167212.5</v>
          </cell>
        </row>
        <row r="17">
          <cell r="C17">
            <v>0</v>
          </cell>
        </row>
        <row r="23">
          <cell r="C23">
            <v>-5923623.8300000001</v>
          </cell>
        </row>
        <row r="25">
          <cell r="C25">
            <v>0</v>
          </cell>
        </row>
        <row r="36">
          <cell r="C36">
            <v>-475696.54414907948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179238347.9314394</v>
          </cell>
        </row>
        <row r="16">
          <cell r="C16">
            <v>400000000</v>
          </cell>
        </row>
        <row r="17">
          <cell r="C17">
            <v>0</v>
          </cell>
        </row>
        <row r="23">
          <cell r="C23">
            <v>-5962740.4000000004</v>
          </cell>
        </row>
        <row r="25">
          <cell r="C25">
            <v>-306388.82843626966</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179048607.92458335</v>
          </cell>
        </row>
        <row r="16">
          <cell r="C16">
            <v>399920000</v>
          </cell>
        </row>
        <row r="17">
          <cell r="C17">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178731445.91772726</v>
          </cell>
        </row>
        <row r="16">
          <cell r="C16">
            <v>399920000</v>
          </cell>
        </row>
        <row r="17">
          <cell r="C17">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173224134.91087121</v>
          </cell>
        </row>
        <row r="16">
          <cell r="C16">
            <v>400000000</v>
          </cell>
        </row>
        <row r="17">
          <cell r="C17">
            <v>0</v>
          </cell>
        </row>
        <row r="23">
          <cell r="C23">
            <v>-2818383.63</v>
          </cell>
        </row>
        <row r="25">
          <cell r="C25">
            <v>-1400019.383647443</v>
          </cell>
        </row>
        <row r="36">
          <cell r="C36">
            <v>-8411.6800000001676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172906972.90401515</v>
          </cell>
        </row>
        <row r="16">
          <cell r="C16">
            <v>0</v>
          </cell>
        </row>
        <row r="17">
          <cell r="C17">
            <v>0</v>
          </cell>
        </row>
        <row r="23">
          <cell r="C23">
            <v>-2789569.0300000003</v>
          </cell>
        </row>
        <row r="25">
          <cell r="C25">
            <v>-1249053.217905398</v>
          </cell>
        </row>
        <row r="36">
          <cell r="C36">
            <v>-10948.959999999963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172671450.8971591</v>
          </cell>
        </row>
        <row r="16">
          <cell r="C16">
            <v>204967000</v>
          </cell>
        </row>
        <row r="17">
          <cell r="C17">
            <v>0</v>
          </cell>
        </row>
        <row r="23">
          <cell r="C23">
            <v>-2285968.7599999998</v>
          </cell>
        </row>
        <row r="25">
          <cell r="C25">
            <v>-733118.15</v>
          </cell>
        </row>
        <row r="36">
          <cell r="C36">
            <v>-18684.10000000002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172354288.89030302</v>
          </cell>
        </row>
        <row r="16">
          <cell r="C16">
            <v>204967000</v>
          </cell>
        </row>
        <row r="17">
          <cell r="C17">
            <v>0</v>
          </cell>
        </row>
        <row r="23">
          <cell r="C23">
            <v>-1756368.95</v>
          </cell>
        </row>
        <row r="25">
          <cell r="C25">
            <v>-755136.26375582837</v>
          </cell>
        </row>
        <row r="36">
          <cell r="C36">
            <v>-5750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ubmission Cover Sheet"/>
      <sheetName val="Income Statement Worksheet"/>
      <sheetName val="Balance Sheet Worksheet"/>
      <sheetName val="Standardized RWA"/>
      <sheetName val="Capital - DFAST"/>
      <sheetName val="Retail Bal. &amp; Loss Projections"/>
      <sheetName val="Retail Repurchase Worksheet"/>
      <sheetName val="Securities OTTI by Security"/>
      <sheetName val="Securities OTTI Methodology"/>
      <sheetName val="Securities OTTI by Portfolio"/>
      <sheetName val="Securities AFS OCI by Portfolio"/>
      <sheetName val="Securities Market Value Sources"/>
      <sheetName val="Trading Worksheet"/>
      <sheetName val="Counterparty Risk Worksheet"/>
      <sheetName val="OpRisk Scenario &amp; Projections"/>
      <sheetName val="PPNR Projections Worksheet"/>
      <sheetName val="PPNR NII Worksheet"/>
      <sheetName val="PPNR Metrics Worksheet"/>
      <sheetName val="General RWA"/>
      <sheetName val="Advanced RWA"/>
      <sheetName val="Retail ASC 310-30 Worksheet"/>
      <sheetName val="vena.tmp.7EC47338204F4F1F"/>
    </sheetNames>
    <sheetDataSet>
      <sheetData sheetId="0">
        <row r="12">
          <cell r="D12" t="str">
            <v>XYZ</v>
          </cell>
        </row>
        <row r="20">
          <cell r="B20" t="str">
            <v>When Received:</v>
          </cell>
        </row>
        <row r="29">
          <cell r="A29" t="str">
            <v>Baseline</v>
          </cell>
        </row>
        <row r="30">
          <cell r="A30" t="str">
            <v>Adverse</v>
          </cell>
        </row>
        <row r="31">
          <cell r="A31" t="str">
            <v>Severely Adverse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172070542.88344696</v>
          </cell>
        </row>
        <row r="16">
          <cell r="C16">
            <v>204967000</v>
          </cell>
        </row>
        <row r="17">
          <cell r="C17">
            <v>0</v>
          </cell>
        </row>
        <row r="23">
          <cell r="C23">
            <v>-352668.85</v>
          </cell>
        </row>
        <row r="25">
          <cell r="C25">
            <v>-730712.04430475645</v>
          </cell>
        </row>
        <row r="36">
          <cell r="C36">
            <v>-115.10999999998603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173629631.7565909</v>
          </cell>
        </row>
        <row r="16">
          <cell r="C16">
            <v>289967000</v>
          </cell>
        </row>
        <row r="17">
          <cell r="C17">
            <v>0</v>
          </cell>
        </row>
        <row r="23">
          <cell r="C23">
            <v>-386037.8400000002</v>
          </cell>
        </row>
        <row r="25">
          <cell r="C25">
            <v>-691957.46500000008</v>
          </cell>
        </row>
        <row r="36">
          <cell r="C36">
            <v>-3289.5800000000745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 val="netcapcomp01292016"/>
    </sheetNames>
    <sheetDataSet>
      <sheetData sheetId="0"/>
      <sheetData sheetId="1"/>
      <sheetData sheetId="2">
        <row r="14">
          <cell r="C14">
            <v>173312469.74973485</v>
          </cell>
        </row>
        <row r="16">
          <cell r="C16">
            <v>290000000</v>
          </cell>
        </row>
        <row r="17">
          <cell r="C17">
            <v>1571639.23</v>
          </cell>
        </row>
        <row r="23">
          <cell r="C23">
            <v>-201716.95000000065</v>
          </cell>
        </row>
        <row r="25">
          <cell r="C25">
            <v>-719147.14250000007</v>
          </cell>
        </row>
        <row r="36">
          <cell r="C36">
            <v>-1634.3699999999953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173008512.8628788</v>
          </cell>
        </row>
        <row r="16">
          <cell r="C16">
            <v>290000000</v>
          </cell>
        </row>
        <row r="17">
          <cell r="C17">
            <v>1571639.23</v>
          </cell>
        </row>
        <row r="23">
          <cell r="C23">
            <v>-107446.35000000009</v>
          </cell>
        </row>
        <row r="25">
          <cell r="C25">
            <v>0</v>
          </cell>
        </row>
        <row r="36">
          <cell r="C36">
            <v>-25875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180295518.338</v>
          </cell>
        </row>
        <row r="16">
          <cell r="C16">
            <v>290000000</v>
          </cell>
        </row>
        <row r="17">
          <cell r="C17">
            <v>1571639.23</v>
          </cell>
        </row>
        <row r="23">
          <cell r="C23">
            <v>31737.649999999849</v>
          </cell>
        </row>
        <row r="25">
          <cell r="C25">
            <v>-153551.57750000001</v>
          </cell>
        </row>
        <row r="36">
          <cell r="C36">
            <v>-27255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180008141.507</v>
          </cell>
        </row>
        <row r="16">
          <cell r="C16">
            <v>290000000</v>
          </cell>
        </row>
        <row r="17">
          <cell r="C17">
            <v>1571639.23</v>
          </cell>
        </row>
        <row r="23">
          <cell r="C23">
            <v>-97835.000000000669</v>
          </cell>
        </row>
        <row r="25">
          <cell r="C25">
            <v>-449430.67833792744</v>
          </cell>
        </row>
        <row r="36">
          <cell r="C36">
            <v>-127866.72262023427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178324464.176</v>
          </cell>
        </row>
        <row r="16">
          <cell r="C16">
            <v>290000000</v>
          </cell>
        </row>
        <row r="17">
          <cell r="C17">
            <v>1571639.23</v>
          </cell>
        </row>
        <row r="23">
          <cell r="C23">
            <v>-1137748.81</v>
          </cell>
        </row>
        <row r="25">
          <cell r="C25">
            <v>-563733.47875371529</v>
          </cell>
        </row>
        <row r="36">
          <cell r="C36">
            <v>-48411.110000000219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178037087.345</v>
          </cell>
        </row>
        <row r="16">
          <cell r="C16">
            <v>290000000</v>
          </cell>
        </row>
        <row r="17">
          <cell r="C17">
            <v>1571639.23</v>
          </cell>
        </row>
        <row r="23">
          <cell r="C23">
            <v>-38810.930791495775</v>
          </cell>
        </row>
        <row r="25">
          <cell r="C25">
            <v>-2899148.1567563005</v>
          </cell>
        </row>
        <row r="36">
          <cell r="C36">
            <v>-114120.27282811483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177749710.514</v>
          </cell>
        </row>
        <row r="16">
          <cell r="C16">
            <v>290000000</v>
          </cell>
        </row>
        <row r="17">
          <cell r="C17">
            <v>1571639.23</v>
          </cell>
        </row>
        <row r="23">
          <cell r="C23">
            <v>-124902.51974785453</v>
          </cell>
        </row>
        <row r="25">
          <cell r="C25">
            <v>-1114211.1133650127</v>
          </cell>
        </row>
        <row r="36">
          <cell r="C36">
            <v>-127247.26984951636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177462333.683</v>
          </cell>
        </row>
        <row r="16">
          <cell r="C16">
            <v>290000000</v>
          </cell>
        </row>
        <row r="17">
          <cell r="C17">
            <v>1571639.23</v>
          </cell>
        </row>
        <row r="23">
          <cell r="C23">
            <v>-128375.37999999974</v>
          </cell>
        </row>
        <row r="25">
          <cell r="C25">
            <v>-1142712.0375529206</v>
          </cell>
        </row>
        <row r="36">
          <cell r="C36">
            <v>-74821.110000000044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heet"/>
      <sheetName val="Existing SHUSA"/>
      <sheetName val="Hold Co."/>
      <sheetName val="SBNA"/>
      <sheetName val="Eliminations - SBNASCUSA"/>
      <sheetName val="SCUSA unadjusted"/>
      <sheetName val="PAMs"/>
      <sheetName val="SSLLC"/>
      <sheetName val="SIS"/>
      <sheetName val="BSPR"/>
      <sheetName val="BSI"/>
      <sheetName val="IncomeStatement"/>
      <sheetName val="Existing SHUSA 2"/>
      <sheetName val="Hold Co. 2"/>
      <sheetName val="SBNA 2"/>
      <sheetName val="Eliminations - SBNASCUSA 2"/>
      <sheetName val="SCUSA unadjusted 2"/>
      <sheetName val="PAMs 2"/>
      <sheetName val="SSLLC 2"/>
      <sheetName val="SIS 2"/>
      <sheetName val="BSPR 2"/>
      <sheetName val="BSI 2"/>
      <sheetName val="PPNRproj"/>
      <sheetName val="vena.tmp.7EC47338204F4F1F"/>
      <sheetName val="Existing SHUSA 3"/>
      <sheetName val="Hold Co. 3"/>
      <sheetName val="SBNA 3"/>
      <sheetName val="Eliminations - SBNASCUSA 3"/>
      <sheetName val="SCUSA unadjusted 3"/>
      <sheetName val="PAMs 3"/>
      <sheetName val="SSLLC 3"/>
      <sheetName val="SIS 3"/>
      <sheetName val="BSPR 3"/>
      <sheetName val="BSI 3"/>
      <sheetName val="PPNRnii"/>
      <sheetName val="Existing SHUSA 4"/>
      <sheetName val="Hold Co. 4"/>
      <sheetName val="SBNA 4"/>
      <sheetName val="Eliminations - SBNASCUSA 4"/>
      <sheetName val="SCUSA unadjusted 4"/>
      <sheetName val="PAMs 4"/>
      <sheetName val="SSLLC 4"/>
      <sheetName val="SIS 4"/>
      <sheetName val="BSPR 4"/>
      <sheetName val="BSI 4"/>
      <sheetName val="PPNRmetrics"/>
      <sheetName val="Existing SHUSA 5"/>
      <sheetName val="Hold Co. 5"/>
      <sheetName val="SBNA 5"/>
      <sheetName val="Eliminations - SBNASCUSA 5"/>
      <sheetName val="SCUSA unadjusted 5"/>
      <sheetName val="PAMs 5"/>
      <sheetName val="SSLLC 5"/>
      <sheetName val="SIS 5"/>
      <sheetName val="BSPR 5"/>
      <sheetName val="BSI 5"/>
      <sheetName val="StandardizedRWA"/>
      <sheetName val="Existing SHUSA 6"/>
      <sheetName val="Hold Co. 6"/>
      <sheetName val="SBNA 6"/>
      <sheetName val="SCUSA unadjusted 6"/>
      <sheetName val="SSLLC 6"/>
      <sheetName val="SIS 6"/>
      <sheetName val="BSPR 6"/>
      <sheetName val="BSI 6"/>
      <sheetName val="Capital"/>
      <sheetName val="Existing SHUSA 7"/>
      <sheetName val="Hold Co. 7"/>
      <sheetName val="SBNA 7"/>
      <sheetName val="SCUSA unadjusted 7"/>
      <sheetName val="SSLLC 7"/>
      <sheetName val="SIS 7"/>
      <sheetName val="BSPR 7"/>
      <sheetName val="BSI 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ow r="1">
          <cell r="B1" t="str">
            <v>SHUSA Consolidated</v>
          </cell>
          <cell r="C1" t="str">
            <v>SHUSA with IHC Stand-Alone</v>
          </cell>
        </row>
        <row r="2">
          <cell r="B2" t="str">
            <v>Existing SHUSA</v>
          </cell>
          <cell r="C2" t="str">
            <v>SHUSA Stand-Alone</v>
          </cell>
        </row>
        <row r="3">
          <cell r="B3" t="str">
            <v>Hold Co.</v>
          </cell>
          <cell r="C3" t="str">
            <v>Hold Co.</v>
          </cell>
        </row>
        <row r="4">
          <cell r="B4" t="str">
            <v>SBNA</v>
          </cell>
          <cell r="C4" t="str">
            <v>SBNA</v>
          </cell>
        </row>
        <row r="5">
          <cell r="B5" t="str">
            <v>SCUSA unadjusted</v>
          </cell>
          <cell r="C5" t="str">
            <v>SCUSA unadjusted</v>
          </cell>
        </row>
        <row r="6">
          <cell r="B6" t="str">
            <v>BSI</v>
          </cell>
          <cell r="C6" t="str">
            <v>BSI</v>
          </cell>
        </row>
        <row r="7">
          <cell r="B7" t="str">
            <v>BSPR</v>
          </cell>
          <cell r="C7" t="str">
            <v>BSPR</v>
          </cell>
        </row>
        <row r="8">
          <cell r="B8" t="str">
            <v>SIS</v>
          </cell>
          <cell r="C8" t="str">
            <v>SIS</v>
          </cell>
        </row>
        <row r="9">
          <cell r="B9" t="str">
            <v>SSLLC</v>
          </cell>
          <cell r="C9" t="str">
            <v>SSLLC</v>
          </cell>
        </row>
        <row r="10">
          <cell r="B10" t="str">
            <v>PAMs</v>
          </cell>
          <cell r="C10" t="str">
            <v>PAMs</v>
          </cell>
        </row>
        <row r="11">
          <cell r="B11" t="str">
            <v>Eliminations - SBNA/SCUSA</v>
          </cell>
          <cell r="C11" t="str">
            <v>Eliminations - SBNA/SCUSA</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177174956.852</v>
          </cell>
        </row>
        <row r="16">
          <cell r="C16">
            <v>290000000</v>
          </cell>
        </row>
        <row r="17">
          <cell r="C17">
            <v>1571639.23</v>
          </cell>
        </row>
        <row r="23">
          <cell r="C23">
            <v>-136787.19999999969</v>
          </cell>
        </row>
        <row r="25">
          <cell r="C25">
            <v>-256031.24524088184</v>
          </cell>
        </row>
        <row r="36">
          <cell r="C36">
            <v>-90731.496107817802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176887580.021</v>
          </cell>
        </row>
        <row r="16">
          <cell r="C16">
            <v>290000000</v>
          </cell>
        </row>
        <row r="17">
          <cell r="C17">
            <v>1571639.23</v>
          </cell>
        </row>
        <row r="23">
          <cell r="C23">
            <v>-109180.16000000006</v>
          </cell>
        </row>
        <row r="25">
          <cell r="C25">
            <v>-851506.75962345512</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176600203.19</v>
          </cell>
        </row>
        <row r="16">
          <cell r="C16">
            <v>0</v>
          </cell>
        </row>
        <row r="17">
          <cell r="C17">
            <v>1571639.23</v>
          </cell>
        </row>
        <row r="23">
          <cell r="C23">
            <v>-59342.109999999993</v>
          </cell>
        </row>
        <row r="25">
          <cell r="C25">
            <v>-302541.61652910156</v>
          </cell>
        </row>
        <row r="36">
          <cell r="C36">
            <v>-36666.389999999898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176474920.109</v>
          </cell>
        </row>
        <row r="16">
          <cell r="C16">
            <v>0</v>
          </cell>
        </row>
        <row r="17">
          <cell r="C17">
            <v>1571639.23</v>
          </cell>
        </row>
        <row r="23">
          <cell r="C23">
            <v>-73954.550000000279</v>
          </cell>
        </row>
        <row r="25">
          <cell r="C25">
            <v>-729853.22559203906</v>
          </cell>
        </row>
        <row r="36">
          <cell r="C36">
            <v>-172964.53823596265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176187543.278</v>
          </cell>
        </row>
        <row r="16">
          <cell r="C16">
            <v>344344</v>
          </cell>
        </row>
        <row r="17">
          <cell r="C17">
            <v>1571639.23</v>
          </cell>
        </row>
        <row r="23">
          <cell r="C23">
            <v>-373175.94000000035</v>
          </cell>
        </row>
        <row r="25">
          <cell r="C25">
            <v>-1205588.5520315508</v>
          </cell>
        </row>
        <row r="36">
          <cell r="C36">
            <v>-190179.71299466773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175900166.447</v>
          </cell>
        </row>
        <row r="16">
          <cell r="C16">
            <v>0</v>
          </cell>
        </row>
        <row r="17">
          <cell r="C17">
            <v>1571639.23</v>
          </cell>
        </row>
        <row r="23">
          <cell r="C23">
            <v>-662981.06000000041</v>
          </cell>
        </row>
        <row r="25">
          <cell r="C25">
            <v>-812275.47808104136</v>
          </cell>
        </row>
        <row r="36">
          <cell r="C36">
            <v>-158431.74221618974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 val="Dynamic FRX Issue"/>
    </sheetNames>
    <sheetDataSet>
      <sheetData sheetId="0"/>
      <sheetData sheetId="1"/>
      <sheetData sheetId="2">
        <row r="14">
          <cell r="C14">
            <v>175612789.616</v>
          </cell>
        </row>
        <row r="16">
          <cell r="C16">
            <v>0</v>
          </cell>
        </row>
        <row r="17">
          <cell r="C17">
            <v>1571639.23</v>
          </cell>
        </row>
        <row r="23">
          <cell r="C23">
            <v>-1340670.1199999996</v>
          </cell>
        </row>
        <row r="25">
          <cell r="C25">
            <v>-909886.06221118616</v>
          </cell>
        </row>
        <row r="36">
          <cell r="C36">
            <v>-7564.4369492199621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175325412.785</v>
          </cell>
        </row>
        <row r="16">
          <cell r="C16">
            <v>0</v>
          </cell>
        </row>
        <row r="17">
          <cell r="C17">
            <v>1571639.23</v>
          </cell>
        </row>
        <row r="23">
          <cell r="C23">
            <v>-483199.03934423462</v>
          </cell>
        </row>
        <row r="25">
          <cell r="C25">
            <v>-451353.94845887471</v>
          </cell>
        </row>
        <row r="36">
          <cell r="C36">
            <v>-202123.05335079849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175038035.954</v>
          </cell>
        </row>
        <row r="16">
          <cell r="C16">
            <v>0</v>
          </cell>
        </row>
        <row r="17">
          <cell r="C17">
            <v>1571639.23</v>
          </cell>
        </row>
        <row r="23">
          <cell r="C23">
            <v>-513170.40213905158</v>
          </cell>
        </row>
        <row r="25">
          <cell r="C25">
            <v>-2296035.9497647854</v>
          </cell>
        </row>
        <row r="36">
          <cell r="C36">
            <v>-306552.37081426865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174750659.123</v>
          </cell>
        </row>
        <row r="16">
          <cell r="C16">
            <v>0</v>
          </cell>
        </row>
        <row r="17">
          <cell r="C17">
            <v>1571639.23</v>
          </cell>
        </row>
        <row r="23">
          <cell r="C23">
            <v>-103419.42000000007</v>
          </cell>
        </row>
        <row r="25">
          <cell r="C25">
            <v>-2503438.6859662179</v>
          </cell>
        </row>
        <row r="36">
          <cell r="C36">
            <v>-248006.97648262154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164823127.50491735</v>
          </cell>
        </row>
        <row r="16">
          <cell r="C16">
            <v>0</v>
          </cell>
        </row>
        <row r="17">
          <cell r="C17">
            <v>21217652</v>
          </cell>
        </row>
        <row r="23">
          <cell r="C23">
            <v>-106145.8299999997</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174652095.042</v>
          </cell>
        </row>
        <row r="16">
          <cell r="C16">
            <v>0</v>
          </cell>
        </row>
        <row r="17">
          <cell r="C17">
            <v>1571639.23</v>
          </cell>
        </row>
        <row r="23">
          <cell r="C23">
            <v>-86773.750000000015</v>
          </cell>
        </row>
        <row r="25">
          <cell r="C25">
            <v>-2225543.8304378544</v>
          </cell>
        </row>
        <row r="36">
          <cell r="C36">
            <v>-247130.08002690796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174364718.211</v>
          </cell>
        </row>
        <row r="16">
          <cell r="C16">
            <v>0</v>
          </cell>
        </row>
        <row r="17">
          <cell r="C17">
            <v>1571639.23</v>
          </cell>
        </row>
        <row r="23">
          <cell r="C23">
            <v>2378.2400000000926</v>
          </cell>
        </row>
        <row r="25">
          <cell r="C25">
            <v>-1218920.241810611</v>
          </cell>
        </row>
        <row r="36">
          <cell r="C36">
            <v>-290358.1700000001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 val="netcapcomp02292016"/>
    </sheetNames>
    <sheetDataSet>
      <sheetData sheetId="0"/>
      <sheetData sheetId="1"/>
      <sheetData sheetId="2">
        <row r="14">
          <cell r="C14">
            <v>174077341.38</v>
          </cell>
        </row>
        <row r="16">
          <cell r="C16">
            <v>0</v>
          </cell>
        </row>
        <row r="17">
          <cell r="C17">
            <v>3143278.46</v>
          </cell>
        </row>
        <row r="23">
          <cell r="C23">
            <v>-328482.59999999998</v>
          </cell>
        </row>
        <row r="25">
          <cell r="C25">
            <v>-3196590.5451000002</v>
          </cell>
        </row>
        <row r="36">
          <cell r="C36">
            <v>-296972.67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170782552.315</v>
          </cell>
        </row>
        <row r="16">
          <cell r="C16">
            <v>0</v>
          </cell>
        </row>
        <row r="17">
          <cell r="C17">
            <v>3143278.46</v>
          </cell>
        </row>
        <row r="23">
          <cell r="C23">
            <v>-348521.12999999989</v>
          </cell>
        </row>
        <row r="25">
          <cell r="C25">
            <v>-269941.70500000002</v>
          </cell>
        </row>
        <row r="36">
          <cell r="C36">
            <v>-277385.73000000004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169867682.63</v>
          </cell>
        </row>
        <row r="16">
          <cell r="C16">
            <v>0</v>
          </cell>
        </row>
        <row r="17">
          <cell r="C17">
            <v>3143278.46</v>
          </cell>
        </row>
        <row r="23">
          <cell r="C23">
            <v>-1385728.005978087</v>
          </cell>
        </row>
        <row r="25">
          <cell r="C25">
            <v>-378839.5088409126</v>
          </cell>
        </row>
        <row r="36">
          <cell r="C36">
            <v>-325964.05999999982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168952812.94499999</v>
          </cell>
        </row>
        <row r="16">
          <cell r="C16">
            <v>0</v>
          </cell>
        </row>
        <row r="17">
          <cell r="C17">
            <v>3143278.46</v>
          </cell>
        </row>
        <row r="23">
          <cell r="C23">
            <v>-1462923.2423116858</v>
          </cell>
        </row>
        <row r="25">
          <cell r="C25">
            <v>-404658.80475951929</v>
          </cell>
        </row>
        <row r="36">
          <cell r="C36">
            <v>-291988.50000000058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169962899.25999999</v>
          </cell>
        </row>
        <row r="16">
          <cell r="C16">
            <v>0</v>
          </cell>
        </row>
        <row r="17">
          <cell r="C17">
            <v>3143278.46</v>
          </cell>
        </row>
        <row r="23">
          <cell r="C23">
            <v>-1904007.8920000005</v>
          </cell>
        </row>
        <row r="25">
          <cell r="C25">
            <v>-965158.09064999933</v>
          </cell>
        </row>
        <row r="36">
          <cell r="C36">
            <v>-383137.20000000036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170725017.07499999</v>
          </cell>
        </row>
        <row r="16">
          <cell r="C16">
            <v>0</v>
          </cell>
        </row>
        <row r="17">
          <cell r="C17">
            <v>3143278.46</v>
          </cell>
        </row>
        <row r="23">
          <cell r="C23">
            <v>-3393645.38</v>
          </cell>
        </row>
        <row r="25">
          <cell r="C25">
            <v>-359601.77480000013</v>
          </cell>
        </row>
        <row r="36">
          <cell r="C36">
            <v>-455895.70000000094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169810147.39000002</v>
          </cell>
        </row>
        <row r="16">
          <cell r="C16">
            <v>0</v>
          </cell>
        </row>
        <row r="17">
          <cell r="C17">
            <v>3143278.46</v>
          </cell>
        </row>
        <row r="23">
          <cell r="C23">
            <v>-2946629.4599999995</v>
          </cell>
        </row>
        <row r="25">
          <cell r="C25">
            <v>-1924348.1199999999</v>
          </cell>
        </row>
        <row r="36">
          <cell r="C36">
            <v>-291771.90999999997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169260552.70500001</v>
          </cell>
        </row>
        <row r="16">
          <cell r="C16">
            <v>0</v>
          </cell>
        </row>
        <row r="17">
          <cell r="C17">
            <v>3143278.46</v>
          </cell>
        </row>
        <row r="23">
          <cell r="C23">
            <v>-2913237.24</v>
          </cell>
        </row>
        <row r="25">
          <cell r="C25">
            <v>-2047412.3000000003</v>
          </cell>
        </row>
        <row r="36">
          <cell r="C36">
            <v>-804397.68000000075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164483587.00983471</v>
          </cell>
        </row>
        <row r="16">
          <cell r="C16">
            <v>0</v>
          </cell>
        </row>
        <row r="17">
          <cell r="C17">
            <v>21217652</v>
          </cell>
        </row>
        <row r="23">
          <cell r="C23">
            <v>-95441.129999999917</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168345683.02000001</v>
          </cell>
        </row>
        <row r="16">
          <cell r="C16">
            <v>0</v>
          </cell>
        </row>
        <row r="17">
          <cell r="C17">
            <v>3143278.46</v>
          </cell>
        </row>
        <row r="23">
          <cell r="C23">
            <v>-2910027.2899999996</v>
          </cell>
        </row>
        <row r="25">
          <cell r="C25">
            <v>-1559042.878630056</v>
          </cell>
        </row>
        <row r="36">
          <cell r="C36">
            <v>-720347.46000000008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168745768.83500001</v>
          </cell>
        </row>
        <row r="16">
          <cell r="C16">
            <v>0</v>
          </cell>
        </row>
        <row r="17">
          <cell r="C17">
            <v>3143278.46</v>
          </cell>
        </row>
        <row r="23">
          <cell r="C23">
            <v>-3169002.2253682092</v>
          </cell>
        </row>
        <row r="25">
          <cell r="C25">
            <v>-2349215.5209378726</v>
          </cell>
        </row>
        <row r="36">
          <cell r="C36">
            <v>-693176.24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167830899.15000001</v>
          </cell>
        </row>
        <row r="16">
          <cell r="C16">
            <v>0</v>
          </cell>
        </row>
        <row r="17">
          <cell r="C17">
            <v>3143278.46</v>
          </cell>
        </row>
        <row r="23">
          <cell r="C23">
            <v>-2459920.4970407668</v>
          </cell>
        </row>
        <row r="25">
          <cell r="C25">
            <v>-2866192.6288024504</v>
          </cell>
        </row>
        <row r="36">
          <cell r="C36">
            <v>-679777.17999999993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166916029.465</v>
          </cell>
        </row>
        <row r="16">
          <cell r="C16">
            <v>0</v>
          </cell>
        </row>
        <row r="17">
          <cell r="C17">
            <v>3143278.46</v>
          </cell>
        </row>
        <row r="23">
          <cell r="C23">
            <v>-2228623.9513715846</v>
          </cell>
        </row>
        <row r="25">
          <cell r="C25">
            <v>-1998148.3001278571</v>
          </cell>
        </row>
        <row r="36">
          <cell r="C36">
            <v>-80804.639999999708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166001159.78</v>
          </cell>
        </row>
        <row r="16">
          <cell r="C16">
            <v>0</v>
          </cell>
        </row>
        <row r="17">
          <cell r="C17">
            <v>3143278.46</v>
          </cell>
        </row>
        <row r="23">
          <cell r="C23">
            <v>-173438.45123811474</v>
          </cell>
        </row>
        <row r="25">
          <cell r="C25">
            <v>-2195054.6225572857</v>
          </cell>
        </row>
        <row r="36">
          <cell r="C36">
            <v>-50931.70000000023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165086290.095</v>
          </cell>
        </row>
        <row r="16">
          <cell r="C16">
            <v>0</v>
          </cell>
        </row>
        <row r="17">
          <cell r="C17">
            <v>3143278.46</v>
          </cell>
        </row>
        <row r="23">
          <cell r="C23">
            <v>-194155.0724883881</v>
          </cell>
        </row>
        <row r="25">
          <cell r="C25">
            <v>-2688849.3433141224</v>
          </cell>
        </row>
        <row r="36">
          <cell r="C36">
            <v>-93827.499999999578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164171420.41</v>
          </cell>
        </row>
        <row r="16">
          <cell r="C16">
            <v>0</v>
          </cell>
        </row>
        <row r="17">
          <cell r="C17">
            <v>3143278.46</v>
          </cell>
        </row>
        <row r="23">
          <cell r="C23">
            <v>-316467.08999999956</v>
          </cell>
        </row>
        <row r="25">
          <cell r="C25">
            <v>-1776887.9385095129</v>
          </cell>
        </row>
        <row r="36">
          <cell r="C36">
            <v>-154998.97000000026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163256550.72499999</v>
          </cell>
        </row>
        <row r="16">
          <cell r="C16">
            <v>0</v>
          </cell>
        </row>
        <row r="17">
          <cell r="C17">
            <v>3143278.46</v>
          </cell>
        </row>
        <row r="23">
          <cell r="C23">
            <v>-252068.55999999942</v>
          </cell>
        </row>
        <row r="25">
          <cell r="C25">
            <v>-1106335.6865747382</v>
          </cell>
        </row>
        <row r="36">
          <cell r="C36">
            <v>-160879.6399999999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162341681.03999999</v>
          </cell>
        </row>
        <row r="16">
          <cell r="C16">
            <v>0</v>
          </cell>
        </row>
        <row r="17">
          <cell r="C17">
            <v>3143278.46</v>
          </cell>
        </row>
        <row r="23">
          <cell r="C23">
            <v>-287052.75999999919</v>
          </cell>
        </row>
        <row r="25">
          <cell r="C25">
            <v>-1115174.3050000004</v>
          </cell>
        </row>
        <row r="36">
          <cell r="C36">
            <v>-117069.82999999958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161646558.35499999</v>
          </cell>
        </row>
        <row r="16">
          <cell r="C16">
            <v>0</v>
          </cell>
        </row>
        <row r="17">
          <cell r="C17">
            <v>3143278.46</v>
          </cell>
        </row>
        <row r="23">
          <cell r="C23">
            <v>-130766.31000000007</v>
          </cell>
        </row>
        <row r="25">
          <cell r="C25">
            <v>-1299355.0198834762</v>
          </cell>
        </row>
        <row r="36">
          <cell r="C36">
            <v>-200505.99999999936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167187146.33293387</v>
          </cell>
        </row>
        <row r="16">
          <cell r="C16">
            <v>0</v>
          </cell>
        </row>
        <row r="17">
          <cell r="C17">
            <v>0</v>
          </cell>
        </row>
        <row r="23">
          <cell r="C23">
            <v>-91716.560000000245</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159951026.66999999</v>
          </cell>
        </row>
        <row r="16">
          <cell r="C16">
            <v>0</v>
          </cell>
        </row>
        <row r="17">
          <cell r="C17">
            <v>3143278.46</v>
          </cell>
        </row>
        <row r="23">
          <cell r="C23">
            <v>-143872.95000000019</v>
          </cell>
        </row>
        <row r="25">
          <cell r="C25">
            <v>-2857871.6824597423</v>
          </cell>
        </row>
        <row r="36">
          <cell r="C36">
            <v>-156451.2800000002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159036156.98500001</v>
          </cell>
        </row>
        <row r="16">
          <cell r="C16">
            <v>0</v>
          </cell>
        </row>
        <row r="17">
          <cell r="C17">
            <v>3143278.46</v>
          </cell>
        </row>
        <row r="23">
          <cell r="C23">
            <v>-3342569.4899999993</v>
          </cell>
        </row>
        <row r="25">
          <cell r="C25">
            <v>-2572787.6424233033</v>
          </cell>
        </row>
        <row r="36">
          <cell r="C36">
            <v>-236618.32996648946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157955511.30000001</v>
          </cell>
        </row>
        <row r="16">
          <cell r="C16">
            <v>0</v>
          </cell>
        </row>
        <row r="17">
          <cell r="C17">
            <v>4714917.46</v>
          </cell>
        </row>
        <row r="23">
          <cell r="C23">
            <v>-44830.339999999793</v>
          </cell>
        </row>
        <row r="25">
          <cell r="C25">
            <v>-2157919.6117008193</v>
          </cell>
        </row>
        <row r="36">
          <cell r="C36">
            <v>-478762.722881753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156551391.61500001</v>
          </cell>
        </row>
        <row r="16">
          <cell r="C16">
            <v>0</v>
          </cell>
        </row>
        <row r="17">
          <cell r="C17">
            <v>4714917.46</v>
          </cell>
        </row>
        <row r="23">
          <cell r="C23">
            <v>-80486.550000001211</v>
          </cell>
        </row>
        <row r="25">
          <cell r="C25">
            <v>-3784459.1099543357</v>
          </cell>
        </row>
        <row r="36">
          <cell r="C36">
            <v>-551687.3419003298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166156576.965</v>
          </cell>
        </row>
        <row r="16">
          <cell r="C16">
            <v>0</v>
          </cell>
        </row>
        <row r="17">
          <cell r="C17">
            <v>4714917.46</v>
          </cell>
        </row>
        <row r="23">
          <cell r="C23">
            <v>77179.000000000815</v>
          </cell>
        </row>
        <row r="25">
          <cell r="C25">
            <v>-321261.61404396483</v>
          </cell>
        </row>
        <row r="36">
          <cell r="C36">
            <v>-404462.51280427579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170401999.07301587</v>
          </cell>
        </row>
        <row r="16">
          <cell r="C16">
            <v>0</v>
          </cell>
        </row>
        <row r="17">
          <cell r="C17">
            <v>4714917.46</v>
          </cell>
        </row>
        <row r="23">
          <cell r="C23">
            <v>-190780.36000000086</v>
          </cell>
        </row>
        <row r="25">
          <cell r="C25">
            <v>-956328.96862004418</v>
          </cell>
        </row>
        <row r="36">
          <cell r="C36">
            <v>-3019095.3600000003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169996043.14603174</v>
          </cell>
        </row>
        <row r="16">
          <cell r="C16">
            <v>0</v>
          </cell>
        </row>
        <row r="17">
          <cell r="C17">
            <v>4714917.46</v>
          </cell>
        </row>
        <row r="23">
          <cell r="C23">
            <v>-161525.54000000059</v>
          </cell>
        </row>
        <row r="25">
          <cell r="C25">
            <v>-48592.588312554086</v>
          </cell>
        </row>
        <row r="36">
          <cell r="C36">
            <v>-3097214.279159917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172776267.71904761</v>
          </cell>
        </row>
        <row r="16">
          <cell r="C16">
            <v>0</v>
          </cell>
        </row>
        <row r="17">
          <cell r="C17">
            <v>4714917.46</v>
          </cell>
        </row>
        <row r="23">
          <cell r="C23">
            <v>-207194.04999999903</v>
          </cell>
        </row>
        <row r="25">
          <cell r="C25">
            <v>-220108.64631650271</v>
          </cell>
        </row>
        <row r="36">
          <cell r="C36">
            <v>-3000662.3600000003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172370311.7920635</v>
          </cell>
        </row>
        <row r="16">
          <cell r="C16">
            <v>0</v>
          </cell>
        </row>
        <row r="17">
          <cell r="C17">
            <v>4714917.46</v>
          </cell>
        </row>
        <row r="23">
          <cell r="C23">
            <v>-119366.99999999972</v>
          </cell>
        </row>
        <row r="25">
          <cell r="C25">
            <v>-1358657.0321</v>
          </cell>
        </row>
        <row r="36">
          <cell r="C36">
            <v>-3030301.2299999995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175326176.86507937</v>
          </cell>
        </row>
        <row r="16">
          <cell r="C16">
            <v>0</v>
          </cell>
        </row>
        <row r="17">
          <cell r="C17">
            <v>4714917.46</v>
          </cell>
        </row>
        <row r="23">
          <cell r="C23">
            <v>-218803.87999999986</v>
          </cell>
        </row>
        <row r="25">
          <cell r="C25">
            <v>-849238.68494175922</v>
          </cell>
        </row>
        <row r="36">
          <cell r="C36">
            <v>-3021068.2700000005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167626434.11057851</v>
          </cell>
        </row>
        <row r="16">
          <cell r="C16">
            <v>0</v>
          </cell>
        </row>
        <row r="17">
          <cell r="C17">
            <v>0</v>
          </cell>
        </row>
        <row r="23">
          <cell r="C23">
            <v>-4039520.12</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175231359.43809524</v>
          </cell>
        </row>
        <row r="16">
          <cell r="C16">
            <v>0</v>
          </cell>
        </row>
        <row r="17">
          <cell r="C17">
            <v>4714917.46</v>
          </cell>
        </row>
        <row r="23">
          <cell r="C23">
            <v>-921593.94999999925</v>
          </cell>
        </row>
        <row r="25">
          <cell r="C25">
            <v>-768089.4201499999</v>
          </cell>
        </row>
        <row r="36">
          <cell r="C36">
            <v>-3016982.9899999998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174825403.51111111</v>
          </cell>
        </row>
        <row r="16">
          <cell r="C16">
            <v>0</v>
          </cell>
        </row>
        <row r="17">
          <cell r="C17">
            <v>4714917.46</v>
          </cell>
        </row>
        <row r="23">
          <cell r="C23">
            <v>-1073253.0599999994</v>
          </cell>
        </row>
        <row r="25">
          <cell r="C25">
            <v>-1965345.054</v>
          </cell>
        </row>
        <row r="36">
          <cell r="C36">
            <v>-3042869.53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174419447.58412698</v>
          </cell>
        </row>
        <row r="16">
          <cell r="C16">
            <v>0</v>
          </cell>
        </row>
        <row r="17">
          <cell r="C17">
            <v>4714917.46</v>
          </cell>
        </row>
        <row r="23">
          <cell r="C23">
            <v>-177574.34826388845</v>
          </cell>
        </row>
        <row r="25">
          <cell r="C25">
            <v>-2480750.4514421904</v>
          </cell>
        </row>
        <row r="36">
          <cell r="C36">
            <v>-71821.509999999835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174013491.65714285</v>
          </cell>
        </row>
        <row r="16">
          <cell r="C16">
            <v>0</v>
          </cell>
        </row>
        <row r="17">
          <cell r="C17">
            <v>4714917.46</v>
          </cell>
        </row>
        <row r="23">
          <cell r="C23">
            <v>-1863273.2299999995</v>
          </cell>
        </row>
        <row r="25">
          <cell r="C25">
            <v>-1638886.6058</v>
          </cell>
        </row>
        <row r="36">
          <cell r="C36">
            <v>-46942.390000000072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174021146.73015875</v>
          </cell>
        </row>
        <row r="16">
          <cell r="C16">
            <v>0</v>
          </cell>
        </row>
        <row r="17">
          <cell r="C17">
            <v>4714917.46</v>
          </cell>
        </row>
        <row r="23">
          <cell r="C23">
            <v>-2580386.7100000018</v>
          </cell>
        </row>
        <row r="25">
          <cell r="C25">
            <v>-258239.0296000001</v>
          </cell>
        </row>
        <row r="36">
          <cell r="C36">
            <v>-44124.130000000048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173815189.80317461</v>
          </cell>
        </row>
        <row r="16">
          <cell r="C16">
            <v>0</v>
          </cell>
        </row>
        <row r="17">
          <cell r="C17">
            <v>4714917.46</v>
          </cell>
        </row>
        <row r="23">
          <cell r="C23">
            <v>-3746434.8800000008</v>
          </cell>
        </row>
        <row r="25">
          <cell r="C25">
            <v>-90426.790000000037</v>
          </cell>
        </row>
        <row r="36">
          <cell r="C36">
            <v>-42568.450000000055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173409233.87619048</v>
          </cell>
        </row>
        <row r="16">
          <cell r="C16">
            <v>1140000000</v>
          </cell>
        </row>
        <row r="17">
          <cell r="C17">
            <v>4714917.46</v>
          </cell>
        </row>
        <row r="23">
          <cell r="C23">
            <v>-5270646.3400000008</v>
          </cell>
        </row>
        <row r="25">
          <cell r="C25">
            <v>-98314.790000000037</v>
          </cell>
        </row>
        <row r="36">
          <cell r="C36">
            <v>-48799.430000000197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173028215.94920635</v>
          </cell>
        </row>
        <row r="16">
          <cell r="C16">
            <v>1140000000</v>
          </cell>
        </row>
        <row r="17">
          <cell r="C17">
            <v>4714917.46</v>
          </cell>
        </row>
        <row r="23">
          <cell r="C23">
            <v>-5489870.379999999</v>
          </cell>
        </row>
        <row r="25">
          <cell r="C25">
            <v>-1689760.3965000003</v>
          </cell>
        </row>
        <row r="36">
          <cell r="C36">
            <v>-58140.040000000008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167329122.73844698</v>
          </cell>
        </row>
        <row r="16">
          <cell r="C16">
            <v>0</v>
          </cell>
        </row>
        <row r="17">
          <cell r="C17">
            <v>0</v>
          </cell>
        </row>
        <row r="23">
          <cell r="C23">
            <v>-4130856.82</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Break"/>
      <sheetName val="Before-After"/>
      <sheetName val="nccomp"/>
      <sheetName val="Daily Trend"/>
      <sheetName val="Summary"/>
      <sheetName val="bs"/>
      <sheetName val="focusmtdp&amp;l"/>
      <sheetName val="eqpos"/>
      <sheetName val="Hccalc"/>
      <sheetName val="Other Charges"/>
      <sheetName val="agedcustncfr"/>
      <sheetName val="Pershing Cust FR"/>
      <sheetName val="agedcustncfd"/>
      <sheetName val="Pershing Cust FD"/>
      <sheetName val="agedfr"/>
      <sheetName val="agedfd"/>
      <sheetName val="FOCUStb"/>
      <sheetName val="Pershing Rec"/>
      <sheetName val="fails"/>
      <sheetName val="fx"/>
      <sheetName val="currbal"/>
      <sheetName val="addback"/>
      <sheetName val="unsettledfxtrades"/>
      <sheetName val="pos"/>
      <sheetName val="equitypl"/>
      <sheetName val="mktpriceofnonpriced"/>
      <sheetName val="Committedcap"/>
      <sheetName val="PRICES"/>
      <sheetName val="sballoc"/>
      <sheetName val="failalloc"/>
      <sheetName val="procedure"/>
      <sheetName val="invpos"/>
      <sheetName val="FT _10 _Final"/>
      <sheetName val="sb"/>
      <sheetName val="Sheet1"/>
    </sheetNames>
    <sheetDataSet>
      <sheetData sheetId="0"/>
      <sheetData sheetId="1"/>
      <sheetData sheetId="2">
        <row r="14">
          <cell r="C14">
            <v>168048094.68613636</v>
          </cell>
        </row>
        <row r="16">
          <cell r="C16">
            <v>290000000</v>
          </cell>
        </row>
        <row r="17">
          <cell r="C17">
            <v>0</v>
          </cell>
        </row>
        <row r="23">
          <cell r="C23">
            <v>-2991029.4899999998</v>
          </cell>
        </row>
        <row r="25">
          <cell r="C25">
            <v>0</v>
          </cell>
        </row>
        <row r="36">
          <cell r="C3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I278"/>
  <sheetViews>
    <sheetView tabSelected="1" zoomScale="80" zoomScaleNormal="80" workbookViewId="0">
      <pane xSplit="5" ySplit="10" topLeftCell="R121" activePane="bottomRight" state="frozen"/>
      <selection activeCell="K44" sqref="K44"/>
      <selection pane="topRight" activeCell="K44" sqref="K44"/>
      <selection pane="bottomLeft" activeCell="K44" sqref="K44"/>
      <selection pane="bottomRight" activeCell="K44" sqref="K44"/>
    </sheetView>
  </sheetViews>
  <sheetFormatPr defaultRowHeight="12.75" x14ac:dyDescent="0.2"/>
  <cols>
    <col min="1" max="1" width="2.42578125" style="5" customWidth="1"/>
    <col min="2" max="2" width="30.42578125" style="6" hidden="1" customWidth="1"/>
    <col min="3" max="3" width="10.85546875" style="5" bestFit="1" customWidth="1"/>
    <col min="4" max="4" width="8.28515625" style="7" customWidth="1"/>
    <col min="5" max="5" width="45.42578125" style="12" customWidth="1"/>
    <col min="6" max="9" width="11.140625" style="17" customWidth="1"/>
    <col min="10" max="10" width="2.42578125" style="17" customWidth="1"/>
    <col min="11" max="19" width="11.140625" style="17" customWidth="1"/>
    <col min="20" max="20" width="2.42578125" style="19" customWidth="1"/>
    <col min="21" max="29" width="11.140625" style="17" customWidth="1"/>
    <col min="30" max="30" width="2.42578125" style="19" customWidth="1"/>
    <col min="31" max="39" width="11.140625" style="17" customWidth="1"/>
    <col min="40" max="40" width="2.42578125" style="19" customWidth="1"/>
    <col min="41" max="49" width="11.140625" style="17" customWidth="1"/>
    <col min="50" max="50" width="2.42578125" style="19" customWidth="1"/>
    <col min="51" max="59" width="11.140625" style="17" customWidth="1"/>
    <col min="60" max="60" width="2.5703125" style="11" customWidth="1"/>
    <col min="61" max="61" width="8" style="10" hidden="1" customWidth="1"/>
    <col min="62" max="16384" width="9.140625" style="11"/>
  </cols>
  <sheetData>
    <row r="2" spans="1:61" hidden="1" x14ac:dyDescent="0.2">
      <c r="B2" s="6" t="s">
        <v>0</v>
      </c>
      <c r="C2" s="5" t="s">
        <v>1</v>
      </c>
      <c r="E2" s="8" t="s">
        <v>2</v>
      </c>
      <c r="F2" s="9" t="str">
        <f>$E$2</f>
        <v>SIS</v>
      </c>
      <c r="G2" s="9" t="str">
        <f t="shared" ref="G2:I2" si="0">$E$2</f>
        <v>SIS</v>
      </c>
      <c r="H2" s="9" t="str">
        <f t="shared" si="0"/>
        <v>SIS</v>
      </c>
      <c r="I2" s="9" t="str">
        <f t="shared" si="0"/>
        <v>SIS</v>
      </c>
      <c r="J2" s="9"/>
      <c r="K2" s="9" t="str">
        <f t="shared" ref="K2:BG2" si="1">+$E$2</f>
        <v>SIS</v>
      </c>
      <c r="L2" s="9" t="str">
        <f t="shared" si="1"/>
        <v>SIS</v>
      </c>
      <c r="M2" s="9" t="str">
        <f t="shared" si="1"/>
        <v>SIS</v>
      </c>
      <c r="N2" s="9" t="str">
        <f t="shared" si="1"/>
        <v>SIS</v>
      </c>
      <c r="O2" s="9" t="str">
        <f t="shared" si="1"/>
        <v>SIS</v>
      </c>
      <c r="P2" s="9" t="str">
        <f t="shared" si="1"/>
        <v>SIS</v>
      </c>
      <c r="Q2" s="9" t="str">
        <f t="shared" si="1"/>
        <v>SIS</v>
      </c>
      <c r="R2" s="9" t="str">
        <f t="shared" si="1"/>
        <v>SIS</v>
      </c>
      <c r="S2" s="9" t="str">
        <f t="shared" si="1"/>
        <v>SIS</v>
      </c>
      <c r="T2" s="9"/>
      <c r="U2" s="9" t="str">
        <f t="shared" si="1"/>
        <v>SIS</v>
      </c>
      <c r="V2" s="9" t="str">
        <f t="shared" si="1"/>
        <v>SIS</v>
      </c>
      <c r="W2" s="9" t="str">
        <f t="shared" si="1"/>
        <v>SIS</v>
      </c>
      <c r="X2" s="9" t="str">
        <f t="shared" si="1"/>
        <v>SIS</v>
      </c>
      <c r="Y2" s="9" t="str">
        <f t="shared" si="1"/>
        <v>SIS</v>
      </c>
      <c r="Z2" s="9" t="str">
        <f t="shared" si="1"/>
        <v>SIS</v>
      </c>
      <c r="AA2" s="9" t="str">
        <f t="shared" si="1"/>
        <v>SIS</v>
      </c>
      <c r="AB2" s="9" t="str">
        <f t="shared" si="1"/>
        <v>SIS</v>
      </c>
      <c r="AC2" s="9" t="str">
        <f t="shared" si="1"/>
        <v>SIS</v>
      </c>
      <c r="AD2" s="9"/>
      <c r="AE2" s="9" t="str">
        <f t="shared" si="1"/>
        <v>SIS</v>
      </c>
      <c r="AF2" s="9" t="str">
        <f t="shared" si="1"/>
        <v>SIS</v>
      </c>
      <c r="AG2" s="9" t="str">
        <f t="shared" si="1"/>
        <v>SIS</v>
      </c>
      <c r="AH2" s="9" t="str">
        <f t="shared" si="1"/>
        <v>SIS</v>
      </c>
      <c r="AI2" s="9" t="str">
        <f t="shared" si="1"/>
        <v>SIS</v>
      </c>
      <c r="AJ2" s="9" t="str">
        <f t="shared" si="1"/>
        <v>SIS</v>
      </c>
      <c r="AK2" s="9" t="str">
        <f t="shared" si="1"/>
        <v>SIS</v>
      </c>
      <c r="AL2" s="9" t="str">
        <f t="shared" si="1"/>
        <v>SIS</v>
      </c>
      <c r="AM2" s="9" t="str">
        <f t="shared" si="1"/>
        <v>SIS</v>
      </c>
      <c r="AN2" s="9"/>
      <c r="AO2" s="9" t="str">
        <f t="shared" si="1"/>
        <v>SIS</v>
      </c>
      <c r="AP2" s="9" t="str">
        <f t="shared" si="1"/>
        <v>SIS</v>
      </c>
      <c r="AQ2" s="9" t="str">
        <f t="shared" si="1"/>
        <v>SIS</v>
      </c>
      <c r="AR2" s="9" t="str">
        <f t="shared" si="1"/>
        <v>SIS</v>
      </c>
      <c r="AS2" s="9" t="str">
        <f t="shared" si="1"/>
        <v>SIS</v>
      </c>
      <c r="AT2" s="9" t="str">
        <f t="shared" si="1"/>
        <v>SIS</v>
      </c>
      <c r="AU2" s="9" t="str">
        <f t="shared" si="1"/>
        <v>SIS</v>
      </c>
      <c r="AV2" s="9" t="str">
        <f t="shared" si="1"/>
        <v>SIS</v>
      </c>
      <c r="AW2" s="9" t="str">
        <f t="shared" si="1"/>
        <v>SIS</v>
      </c>
      <c r="AX2" s="9"/>
      <c r="AY2" s="9" t="str">
        <f t="shared" si="1"/>
        <v>SIS</v>
      </c>
      <c r="AZ2" s="9" t="str">
        <f t="shared" si="1"/>
        <v>SIS</v>
      </c>
      <c r="BA2" s="9" t="str">
        <f t="shared" si="1"/>
        <v>SIS</v>
      </c>
      <c r="BB2" s="9" t="str">
        <f t="shared" si="1"/>
        <v>SIS</v>
      </c>
      <c r="BC2" s="9" t="str">
        <f t="shared" si="1"/>
        <v>SIS</v>
      </c>
      <c r="BD2" s="9" t="str">
        <f t="shared" si="1"/>
        <v>SIS</v>
      </c>
      <c r="BE2" s="9" t="str">
        <f t="shared" si="1"/>
        <v>SIS</v>
      </c>
      <c r="BF2" s="9" t="str">
        <f t="shared" si="1"/>
        <v>SIS</v>
      </c>
      <c r="BG2" s="9" t="str">
        <f t="shared" si="1"/>
        <v>SIS</v>
      </c>
      <c r="BH2" s="8"/>
      <c r="BI2" s="10" t="s">
        <v>0</v>
      </c>
    </row>
    <row r="3" spans="1:61" hidden="1" x14ac:dyDescent="0.2">
      <c r="C3" s="5" t="s">
        <v>1</v>
      </c>
      <c r="F3" s="9" t="s">
        <v>3</v>
      </c>
      <c r="G3" s="9" t="s">
        <v>3</v>
      </c>
      <c r="H3" s="9" t="s">
        <v>3</v>
      </c>
      <c r="I3" s="9" t="s">
        <v>4</v>
      </c>
      <c r="J3" s="9"/>
      <c r="K3" s="9" t="s">
        <v>4</v>
      </c>
      <c r="L3" s="9" t="s">
        <v>4</v>
      </c>
      <c r="M3" s="9" t="s">
        <v>4</v>
      </c>
      <c r="N3" s="9" t="s">
        <v>4</v>
      </c>
      <c r="O3" s="9" t="s">
        <v>4</v>
      </c>
      <c r="P3" s="9" t="s">
        <v>4</v>
      </c>
      <c r="Q3" s="9" t="s">
        <v>4</v>
      </c>
      <c r="R3" s="9" t="s">
        <v>4</v>
      </c>
      <c r="S3" s="9" t="s">
        <v>4</v>
      </c>
      <c r="T3" s="9"/>
      <c r="U3" s="9" t="s">
        <v>4</v>
      </c>
      <c r="V3" s="9" t="s">
        <v>4</v>
      </c>
      <c r="W3" s="9" t="s">
        <v>4</v>
      </c>
      <c r="X3" s="9" t="s">
        <v>4</v>
      </c>
      <c r="Y3" s="9" t="s">
        <v>4</v>
      </c>
      <c r="Z3" s="9" t="s">
        <v>4</v>
      </c>
      <c r="AA3" s="9" t="s">
        <v>4</v>
      </c>
      <c r="AB3" s="9" t="s">
        <v>4</v>
      </c>
      <c r="AC3" s="9" t="s">
        <v>4</v>
      </c>
      <c r="AD3" s="9"/>
      <c r="AE3" s="9" t="s">
        <v>4</v>
      </c>
      <c r="AF3" s="9" t="s">
        <v>4</v>
      </c>
      <c r="AG3" s="9" t="s">
        <v>4</v>
      </c>
      <c r="AH3" s="9" t="s">
        <v>4</v>
      </c>
      <c r="AI3" s="9" t="s">
        <v>4</v>
      </c>
      <c r="AJ3" s="9" t="s">
        <v>4</v>
      </c>
      <c r="AK3" s="9" t="s">
        <v>4</v>
      </c>
      <c r="AL3" s="9" t="s">
        <v>4</v>
      </c>
      <c r="AM3" s="9" t="s">
        <v>4</v>
      </c>
      <c r="AN3" s="9"/>
      <c r="AO3" s="9" t="s">
        <v>4</v>
      </c>
      <c r="AP3" s="9" t="s">
        <v>4</v>
      </c>
      <c r="AQ3" s="9" t="s">
        <v>4</v>
      </c>
      <c r="AR3" s="9" t="s">
        <v>4</v>
      </c>
      <c r="AS3" s="9" t="s">
        <v>4</v>
      </c>
      <c r="AT3" s="9" t="s">
        <v>4</v>
      </c>
      <c r="AU3" s="9" t="s">
        <v>4</v>
      </c>
      <c r="AV3" s="9" t="s">
        <v>4</v>
      </c>
      <c r="AW3" s="9" t="s">
        <v>4</v>
      </c>
      <c r="AX3" s="9"/>
      <c r="AY3" s="9" t="s">
        <v>4</v>
      </c>
      <c r="AZ3" s="9" t="s">
        <v>4</v>
      </c>
      <c r="BA3" s="9" t="s">
        <v>4</v>
      </c>
      <c r="BB3" s="9" t="s">
        <v>4</v>
      </c>
      <c r="BC3" s="9" t="s">
        <v>4</v>
      </c>
      <c r="BD3" s="9" t="s">
        <v>4</v>
      </c>
      <c r="BE3" s="9" t="s">
        <v>4</v>
      </c>
      <c r="BF3" s="9" t="s">
        <v>4</v>
      </c>
      <c r="BG3" s="9" t="s">
        <v>4</v>
      </c>
      <c r="BH3" s="8"/>
    </row>
    <row r="4" spans="1:61" hidden="1" x14ac:dyDescent="0.2">
      <c r="C4" s="5" t="s">
        <v>1</v>
      </c>
      <c r="E4" s="8" t="s">
        <v>5</v>
      </c>
      <c r="F4" s="9" t="s">
        <v>6</v>
      </c>
      <c r="G4" s="9" t="s">
        <v>6</v>
      </c>
      <c r="H4" s="9" t="s">
        <v>6</v>
      </c>
      <c r="I4" s="9" t="s">
        <v>6</v>
      </c>
      <c r="J4" s="9"/>
      <c r="K4" s="9" t="s">
        <v>7</v>
      </c>
      <c r="L4" s="9" t="s">
        <v>7</v>
      </c>
      <c r="M4" s="9" t="s">
        <v>7</v>
      </c>
      <c r="N4" s="9" t="s">
        <v>7</v>
      </c>
      <c r="O4" s="9" t="s">
        <v>7</v>
      </c>
      <c r="P4" s="9" t="s">
        <v>7</v>
      </c>
      <c r="Q4" s="9" t="s">
        <v>7</v>
      </c>
      <c r="R4" s="9" t="s">
        <v>7</v>
      </c>
      <c r="S4" s="9" t="s">
        <v>7</v>
      </c>
      <c r="T4" s="9"/>
      <c r="U4" s="9" t="s">
        <v>8</v>
      </c>
      <c r="V4" s="9" t="s">
        <v>8</v>
      </c>
      <c r="W4" s="9" t="s">
        <v>8</v>
      </c>
      <c r="X4" s="9" t="s">
        <v>8</v>
      </c>
      <c r="Y4" s="9" t="s">
        <v>8</v>
      </c>
      <c r="Z4" s="9" t="s">
        <v>8</v>
      </c>
      <c r="AA4" s="9" t="s">
        <v>8</v>
      </c>
      <c r="AB4" s="9" t="s">
        <v>8</v>
      </c>
      <c r="AC4" s="9" t="s">
        <v>8</v>
      </c>
      <c r="AD4" s="9"/>
      <c r="AE4" s="9" t="s">
        <v>9</v>
      </c>
      <c r="AF4" s="9" t="s">
        <v>9</v>
      </c>
      <c r="AG4" s="9" t="s">
        <v>9</v>
      </c>
      <c r="AH4" s="9" t="s">
        <v>9</v>
      </c>
      <c r="AI4" s="9" t="s">
        <v>9</v>
      </c>
      <c r="AJ4" s="9" t="s">
        <v>9</v>
      </c>
      <c r="AK4" s="9" t="s">
        <v>9</v>
      </c>
      <c r="AL4" s="9" t="s">
        <v>9</v>
      </c>
      <c r="AM4" s="9" t="s">
        <v>9</v>
      </c>
      <c r="AN4" s="9"/>
      <c r="AO4" s="9" t="s">
        <v>10</v>
      </c>
      <c r="AP4" s="9" t="s">
        <v>10</v>
      </c>
      <c r="AQ4" s="9" t="s">
        <v>10</v>
      </c>
      <c r="AR4" s="9" t="s">
        <v>10</v>
      </c>
      <c r="AS4" s="9" t="s">
        <v>10</v>
      </c>
      <c r="AT4" s="9" t="s">
        <v>10</v>
      </c>
      <c r="AU4" s="9" t="s">
        <v>10</v>
      </c>
      <c r="AV4" s="9" t="s">
        <v>10</v>
      </c>
      <c r="AW4" s="9" t="s">
        <v>10</v>
      </c>
      <c r="AX4" s="9"/>
      <c r="AY4" s="9" t="s">
        <v>11</v>
      </c>
      <c r="AZ4" s="9" t="s">
        <v>11</v>
      </c>
      <c r="BA4" s="9" t="s">
        <v>11</v>
      </c>
      <c r="BB4" s="9" t="s">
        <v>11</v>
      </c>
      <c r="BC4" s="9" t="s">
        <v>11</v>
      </c>
      <c r="BD4" s="9" t="s">
        <v>11</v>
      </c>
      <c r="BE4" s="9" t="s">
        <v>11</v>
      </c>
      <c r="BF4" s="9" t="s">
        <v>11</v>
      </c>
      <c r="BG4" s="9" t="s">
        <v>11</v>
      </c>
      <c r="BH4" s="8"/>
    </row>
    <row r="5" spans="1:61" hidden="1" x14ac:dyDescent="0.2">
      <c r="C5" s="5" t="s">
        <v>1</v>
      </c>
      <c r="E5" s="8" t="s">
        <v>12</v>
      </c>
      <c r="F5" s="9" t="s">
        <v>13</v>
      </c>
      <c r="G5" s="9" t="s">
        <v>14</v>
      </c>
      <c r="H5" s="9" t="s">
        <v>15</v>
      </c>
      <c r="I5" s="9" t="s">
        <v>16</v>
      </c>
      <c r="J5" s="9"/>
      <c r="K5" s="9" t="s">
        <v>17</v>
      </c>
      <c r="L5" s="9" t="s">
        <v>18</v>
      </c>
      <c r="M5" s="9" t="s">
        <v>19</v>
      </c>
      <c r="N5" s="9" t="s">
        <v>20</v>
      </c>
      <c r="O5" s="9" t="s">
        <v>21</v>
      </c>
      <c r="P5" s="9" t="s">
        <v>22</v>
      </c>
      <c r="Q5" s="9" t="s">
        <v>23</v>
      </c>
      <c r="R5" s="9" t="s">
        <v>24</v>
      </c>
      <c r="S5" s="9" t="s">
        <v>25</v>
      </c>
      <c r="T5" s="9"/>
      <c r="U5" s="9" t="s">
        <v>17</v>
      </c>
      <c r="V5" s="9" t="s">
        <v>18</v>
      </c>
      <c r="W5" s="9" t="s">
        <v>19</v>
      </c>
      <c r="X5" s="9" t="s">
        <v>20</v>
      </c>
      <c r="Y5" s="9" t="s">
        <v>21</v>
      </c>
      <c r="Z5" s="9" t="s">
        <v>22</v>
      </c>
      <c r="AA5" s="9" t="s">
        <v>23</v>
      </c>
      <c r="AB5" s="9" t="s">
        <v>24</v>
      </c>
      <c r="AC5" s="9" t="s">
        <v>25</v>
      </c>
      <c r="AD5" s="9"/>
      <c r="AE5" s="9" t="s">
        <v>17</v>
      </c>
      <c r="AF5" s="9" t="s">
        <v>18</v>
      </c>
      <c r="AG5" s="9" t="s">
        <v>19</v>
      </c>
      <c r="AH5" s="9" t="s">
        <v>20</v>
      </c>
      <c r="AI5" s="9" t="s">
        <v>21</v>
      </c>
      <c r="AJ5" s="9" t="s">
        <v>22</v>
      </c>
      <c r="AK5" s="9" t="s">
        <v>23</v>
      </c>
      <c r="AL5" s="9" t="s">
        <v>24</v>
      </c>
      <c r="AM5" s="9" t="s">
        <v>25</v>
      </c>
      <c r="AN5" s="9"/>
      <c r="AO5" s="9" t="s">
        <v>17</v>
      </c>
      <c r="AP5" s="9" t="s">
        <v>18</v>
      </c>
      <c r="AQ5" s="9" t="s">
        <v>19</v>
      </c>
      <c r="AR5" s="9" t="s">
        <v>20</v>
      </c>
      <c r="AS5" s="9" t="s">
        <v>21</v>
      </c>
      <c r="AT5" s="9" t="s">
        <v>22</v>
      </c>
      <c r="AU5" s="9" t="s">
        <v>23</v>
      </c>
      <c r="AV5" s="9" t="s">
        <v>24</v>
      </c>
      <c r="AW5" s="9" t="s">
        <v>25</v>
      </c>
      <c r="AX5" s="9"/>
      <c r="AY5" s="9" t="s">
        <v>17</v>
      </c>
      <c r="AZ5" s="9" t="s">
        <v>18</v>
      </c>
      <c r="BA5" s="9" t="s">
        <v>19</v>
      </c>
      <c r="BB5" s="9" t="s">
        <v>20</v>
      </c>
      <c r="BC5" s="9" t="s">
        <v>21</v>
      </c>
      <c r="BD5" s="9" t="s">
        <v>22</v>
      </c>
      <c r="BE5" s="9" t="s">
        <v>23</v>
      </c>
      <c r="BF5" s="9" t="s">
        <v>24</v>
      </c>
      <c r="BG5" s="9" t="s">
        <v>25</v>
      </c>
      <c r="BH5" s="8"/>
    </row>
    <row r="6" spans="1:61" hidden="1" x14ac:dyDescent="0.2">
      <c r="C6" s="5" t="s">
        <v>1</v>
      </c>
      <c r="E6" s="8"/>
      <c r="F6" s="9" t="s">
        <v>26</v>
      </c>
      <c r="G6" s="9" t="s">
        <v>26</v>
      </c>
      <c r="H6" s="9" t="s">
        <v>26</v>
      </c>
      <c r="I6" s="9" t="s">
        <v>27</v>
      </c>
      <c r="J6" s="9"/>
      <c r="K6" s="9" t="s">
        <v>28</v>
      </c>
      <c r="L6" s="9" t="s">
        <v>29</v>
      </c>
      <c r="M6" s="9" t="s">
        <v>30</v>
      </c>
      <c r="N6" s="9" t="s">
        <v>31</v>
      </c>
      <c r="O6" s="9" t="s">
        <v>32</v>
      </c>
      <c r="P6" s="9" t="s">
        <v>33</v>
      </c>
      <c r="Q6" s="9" t="s">
        <v>34</v>
      </c>
      <c r="R6" s="9" t="s">
        <v>35</v>
      </c>
      <c r="S6" s="9" t="s">
        <v>36</v>
      </c>
      <c r="T6" s="9"/>
      <c r="U6" s="9" t="s">
        <v>28</v>
      </c>
      <c r="V6" s="9" t="s">
        <v>29</v>
      </c>
      <c r="W6" s="9" t="s">
        <v>30</v>
      </c>
      <c r="X6" s="9" t="s">
        <v>31</v>
      </c>
      <c r="Y6" s="9" t="s">
        <v>32</v>
      </c>
      <c r="Z6" s="9" t="s">
        <v>33</v>
      </c>
      <c r="AA6" s="9" t="s">
        <v>34</v>
      </c>
      <c r="AB6" s="9" t="s">
        <v>35</v>
      </c>
      <c r="AC6" s="9" t="s">
        <v>36</v>
      </c>
      <c r="AD6" s="9"/>
      <c r="AE6" s="9" t="s">
        <v>28</v>
      </c>
      <c r="AF6" s="9" t="s">
        <v>29</v>
      </c>
      <c r="AG6" s="9" t="s">
        <v>30</v>
      </c>
      <c r="AH6" s="9" t="s">
        <v>31</v>
      </c>
      <c r="AI6" s="9" t="s">
        <v>32</v>
      </c>
      <c r="AJ6" s="9" t="s">
        <v>33</v>
      </c>
      <c r="AK6" s="9" t="s">
        <v>34</v>
      </c>
      <c r="AL6" s="9" t="s">
        <v>35</v>
      </c>
      <c r="AM6" s="9" t="s">
        <v>36</v>
      </c>
      <c r="AN6" s="9"/>
      <c r="AO6" s="9" t="s">
        <v>28</v>
      </c>
      <c r="AP6" s="9" t="s">
        <v>29</v>
      </c>
      <c r="AQ6" s="9" t="s">
        <v>30</v>
      </c>
      <c r="AR6" s="9" t="s">
        <v>31</v>
      </c>
      <c r="AS6" s="9" t="s">
        <v>32</v>
      </c>
      <c r="AT6" s="9" t="s">
        <v>33</v>
      </c>
      <c r="AU6" s="9" t="s">
        <v>34</v>
      </c>
      <c r="AV6" s="9" t="s">
        <v>35</v>
      </c>
      <c r="AW6" s="9" t="s">
        <v>36</v>
      </c>
      <c r="AX6" s="9"/>
      <c r="AY6" s="9" t="s">
        <v>28</v>
      </c>
      <c r="AZ6" s="9" t="s">
        <v>29</v>
      </c>
      <c r="BA6" s="9" t="s">
        <v>30</v>
      </c>
      <c r="BB6" s="9" t="s">
        <v>31</v>
      </c>
      <c r="BC6" s="9" t="s">
        <v>32</v>
      </c>
      <c r="BD6" s="9" t="s">
        <v>33</v>
      </c>
      <c r="BE6" s="9" t="s">
        <v>34</v>
      </c>
      <c r="BF6" s="9" t="s">
        <v>35</v>
      </c>
      <c r="BG6" s="9" t="s">
        <v>36</v>
      </c>
      <c r="BH6" s="8"/>
    </row>
    <row r="7" spans="1:61" s="5" customFormat="1" x14ac:dyDescent="0.2">
      <c r="B7" s="6"/>
      <c r="C7" s="6"/>
      <c r="D7" s="13" t="str">
        <f>$E$2</f>
        <v>SIS</v>
      </c>
      <c r="E7" s="14"/>
      <c r="F7" s="15"/>
      <c r="G7" s="15"/>
      <c r="H7" s="15"/>
      <c r="I7" s="16" t="str">
        <f>+$I$4</f>
        <v>No Scenario</v>
      </c>
      <c r="J7" s="17"/>
      <c r="K7" s="18" t="str">
        <f>+$D$7</f>
        <v>SIS</v>
      </c>
      <c r="L7" s="16"/>
      <c r="M7" s="16"/>
      <c r="N7" s="16"/>
      <c r="O7" s="16"/>
      <c r="P7" s="16"/>
      <c r="Q7" s="16"/>
      <c r="R7" s="16"/>
      <c r="S7" s="16" t="str">
        <f>+$S$4</f>
        <v>BHC Base - Planned Actions</v>
      </c>
      <c r="T7" s="19"/>
      <c r="U7" s="18" t="str">
        <f>+$D$7</f>
        <v>SIS</v>
      </c>
      <c r="V7" s="16"/>
      <c r="W7" s="16"/>
      <c r="X7" s="16"/>
      <c r="Y7" s="16"/>
      <c r="Z7" s="16"/>
      <c r="AA7" s="16"/>
      <c r="AB7" s="16"/>
      <c r="AC7" s="16" t="str">
        <f>+$AC$4</f>
        <v>BHC Stress - Alternative Actions</v>
      </c>
      <c r="AD7" s="19"/>
      <c r="AE7" s="18" t="str">
        <f>+$D$7</f>
        <v>SIS</v>
      </c>
      <c r="AF7" s="16"/>
      <c r="AG7" s="16"/>
      <c r="AH7" s="16"/>
      <c r="AI7" s="16"/>
      <c r="AJ7" s="16"/>
      <c r="AK7" s="16"/>
      <c r="AL7" s="16"/>
      <c r="AM7" s="16" t="str">
        <f>+$AM$4</f>
        <v>FRB Base - Planned Actions</v>
      </c>
      <c r="AN7" s="19"/>
      <c r="AO7" s="18" t="str">
        <f>+$D$7</f>
        <v>SIS</v>
      </c>
      <c r="AP7" s="16"/>
      <c r="AQ7" s="16"/>
      <c r="AR7" s="16"/>
      <c r="AS7" s="16"/>
      <c r="AT7" s="16"/>
      <c r="AU7" s="16"/>
      <c r="AV7" s="16"/>
      <c r="AW7" s="16" t="str">
        <f>+$AW$4</f>
        <v>FRB Adverse - Planned Actions</v>
      </c>
      <c r="AX7" s="19"/>
      <c r="AY7" s="18" t="str">
        <f>+$D$7</f>
        <v>SIS</v>
      </c>
      <c r="AZ7" s="16"/>
      <c r="BA7" s="16"/>
      <c r="BB7" s="16"/>
      <c r="BC7" s="16"/>
      <c r="BD7" s="16"/>
      <c r="BE7" s="16"/>
      <c r="BF7" s="16"/>
      <c r="BG7" s="16" t="str">
        <f>+$BG$4</f>
        <v>FRB Severely Adverse - Planned Actions</v>
      </c>
      <c r="BI7" s="20"/>
    </row>
    <row r="8" spans="1:61" s="5" customFormat="1" x14ac:dyDescent="0.2">
      <c r="B8" s="6"/>
      <c r="C8" s="6"/>
      <c r="D8" s="21" t="str">
        <f>+CONCATENATE("Capital Worksheet",$E$6)</f>
        <v>Capital Worksheet</v>
      </c>
      <c r="E8" s="22"/>
      <c r="F8" s="23"/>
      <c r="G8" s="23"/>
      <c r="H8" s="23"/>
      <c r="I8" s="23"/>
      <c r="J8" s="17"/>
      <c r="K8" s="24" t="str">
        <f>+$D$8</f>
        <v>Capital Worksheet</v>
      </c>
      <c r="L8" s="23"/>
      <c r="M8" s="23"/>
      <c r="N8" s="23"/>
      <c r="O8" s="23"/>
      <c r="P8" s="23"/>
      <c r="Q8" s="23"/>
      <c r="R8" s="23"/>
      <c r="S8" s="23"/>
      <c r="T8" s="19"/>
      <c r="U8" s="24" t="str">
        <f>+$D$8</f>
        <v>Capital Worksheet</v>
      </c>
      <c r="V8" s="23"/>
      <c r="W8" s="23"/>
      <c r="X8" s="23"/>
      <c r="Y8" s="23"/>
      <c r="Z8" s="23"/>
      <c r="AA8" s="23"/>
      <c r="AB8" s="23"/>
      <c r="AC8" s="23"/>
      <c r="AD8" s="19"/>
      <c r="AE8" s="24" t="str">
        <f>+$D$8</f>
        <v>Capital Worksheet</v>
      </c>
      <c r="AF8" s="23"/>
      <c r="AG8" s="23"/>
      <c r="AH8" s="23"/>
      <c r="AI8" s="23"/>
      <c r="AJ8" s="23"/>
      <c r="AK8" s="23"/>
      <c r="AL8" s="23"/>
      <c r="AM8" s="23"/>
      <c r="AN8" s="19"/>
      <c r="AO8" s="24" t="str">
        <f>+$D$8</f>
        <v>Capital Worksheet</v>
      </c>
      <c r="AP8" s="23"/>
      <c r="AQ8" s="23"/>
      <c r="AR8" s="23"/>
      <c r="AS8" s="23"/>
      <c r="AT8" s="23"/>
      <c r="AU8" s="23"/>
      <c r="AV8" s="23"/>
      <c r="AW8" s="23"/>
      <c r="AX8" s="19"/>
      <c r="AY8" s="24" t="str">
        <f>+$D$8</f>
        <v>Capital Worksheet</v>
      </c>
      <c r="AZ8" s="23"/>
      <c r="BA8" s="23"/>
      <c r="BB8" s="23"/>
      <c r="BC8" s="23"/>
      <c r="BD8" s="23"/>
      <c r="BE8" s="23"/>
      <c r="BF8" s="23"/>
      <c r="BG8" s="23"/>
      <c r="BI8" s="20"/>
    </row>
    <row r="9" spans="1:61" x14ac:dyDescent="0.2">
      <c r="C9" s="6"/>
      <c r="E9" s="25"/>
      <c r="F9" s="26">
        <v>42094</v>
      </c>
      <c r="G9" s="26">
        <v>42185</v>
      </c>
      <c r="H9" s="26">
        <v>42277</v>
      </c>
      <c r="I9" s="26">
        <v>42369</v>
      </c>
      <c r="K9" s="115" t="s">
        <v>7</v>
      </c>
      <c r="L9" s="115"/>
      <c r="M9" s="115"/>
      <c r="N9" s="115"/>
      <c r="O9" s="115"/>
      <c r="P9" s="115"/>
      <c r="Q9" s="115"/>
      <c r="R9" s="115"/>
      <c r="S9" s="115"/>
      <c r="U9" s="115" t="s">
        <v>8</v>
      </c>
      <c r="V9" s="115"/>
      <c r="W9" s="115"/>
      <c r="X9" s="115"/>
      <c r="Y9" s="115"/>
      <c r="Z9" s="115"/>
      <c r="AA9" s="115"/>
      <c r="AB9" s="115"/>
      <c r="AC9" s="115"/>
      <c r="AE9" s="115" t="s">
        <v>9</v>
      </c>
      <c r="AF9" s="115"/>
      <c r="AG9" s="115"/>
      <c r="AH9" s="115"/>
      <c r="AI9" s="115"/>
      <c r="AJ9" s="115"/>
      <c r="AK9" s="115"/>
      <c r="AL9" s="115"/>
      <c r="AM9" s="115"/>
      <c r="AO9" s="115" t="s">
        <v>10</v>
      </c>
      <c r="AP9" s="115"/>
      <c r="AQ9" s="115"/>
      <c r="AR9" s="115"/>
      <c r="AS9" s="115"/>
      <c r="AT9" s="115"/>
      <c r="AU9" s="115"/>
      <c r="AV9" s="115"/>
      <c r="AW9" s="115"/>
      <c r="AY9" s="115" t="s">
        <v>11</v>
      </c>
      <c r="AZ9" s="115"/>
      <c r="BA9" s="115"/>
      <c r="BB9" s="115"/>
      <c r="BC9" s="115"/>
      <c r="BD9" s="115"/>
      <c r="BE9" s="115"/>
      <c r="BF9" s="115"/>
      <c r="BG9" s="115"/>
    </row>
    <row r="10" spans="1:61" ht="13.5" thickBot="1" x14ac:dyDescent="0.25">
      <c r="A10" s="27"/>
      <c r="B10" s="27"/>
      <c r="C10" s="27" t="s">
        <v>37</v>
      </c>
      <c r="D10" s="28" t="s">
        <v>38</v>
      </c>
      <c r="E10" s="29"/>
      <c r="F10" s="30" t="s">
        <v>26</v>
      </c>
      <c r="G10" s="30" t="s">
        <v>26</v>
      </c>
      <c r="H10" s="30" t="s">
        <v>26</v>
      </c>
      <c r="I10" s="30" t="s">
        <v>27</v>
      </c>
      <c r="K10" s="30" t="s">
        <v>28</v>
      </c>
      <c r="L10" s="30" t="s">
        <v>29</v>
      </c>
      <c r="M10" s="30" t="s">
        <v>30</v>
      </c>
      <c r="N10" s="30" t="s">
        <v>31</v>
      </c>
      <c r="O10" s="30" t="s">
        <v>32</v>
      </c>
      <c r="P10" s="30" t="s">
        <v>33</v>
      </c>
      <c r="Q10" s="30" t="s">
        <v>34</v>
      </c>
      <c r="R10" s="30" t="s">
        <v>35</v>
      </c>
      <c r="S10" s="30" t="s">
        <v>36</v>
      </c>
      <c r="T10" s="15"/>
      <c r="U10" s="30" t="s">
        <v>28</v>
      </c>
      <c r="V10" s="30" t="s">
        <v>29</v>
      </c>
      <c r="W10" s="30" t="s">
        <v>30</v>
      </c>
      <c r="X10" s="30" t="s">
        <v>31</v>
      </c>
      <c r="Y10" s="30" t="s">
        <v>32</v>
      </c>
      <c r="Z10" s="30" t="s">
        <v>33</v>
      </c>
      <c r="AA10" s="30" t="s">
        <v>34</v>
      </c>
      <c r="AB10" s="30" t="s">
        <v>35</v>
      </c>
      <c r="AC10" s="30" t="s">
        <v>36</v>
      </c>
      <c r="AD10" s="15"/>
      <c r="AE10" s="30" t="s">
        <v>28</v>
      </c>
      <c r="AF10" s="30" t="s">
        <v>29</v>
      </c>
      <c r="AG10" s="30" t="s">
        <v>30</v>
      </c>
      <c r="AH10" s="30" t="s">
        <v>31</v>
      </c>
      <c r="AI10" s="30" t="s">
        <v>32</v>
      </c>
      <c r="AJ10" s="30" t="s">
        <v>33</v>
      </c>
      <c r="AK10" s="30" t="s">
        <v>34</v>
      </c>
      <c r="AL10" s="30" t="s">
        <v>35</v>
      </c>
      <c r="AM10" s="30" t="s">
        <v>36</v>
      </c>
      <c r="AN10" s="15"/>
      <c r="AO10" s="30" t="s">
        <v>28</v>
      </c>
      <c r="AP10" s="30" t="s">
        <v>29</v>
      </c>
      <c r="AQ10" s="30" t="s">
        <v>30</v>
      </c>
      <c r="AR10" s="30" t="s">
        <v>31</v>
      </c>
      <c r="AS10" s="30" t="s">
        <v>32</v>
      </c>
      <c r="AT10" s="30" t="s">
        <v>33</v>
      </c>
      <c r="AU10" s="30" t="s">
        <v>34</v>
      </c>
      <c r="AV10" s="30" t="s">
        <v>35</v>
      </c>
      <c r="AW10" s="30" t="s">
        <v>36</v>
      </c>
      <c r="AX10" s="15"/>
      <c r="AY10" s="30" t="s">
        <v>28</v>
      </c>
      <c r="AZ10" s="30" t="s">
        <v>29</v>
      </c>
      <c r="BA10" s="30" t="s">
        <v>30</v>
      </c>
      <c r="BB10" s="30" t="s">
        <v>31</v>
      </c>
      <c r="BC10" s="30" t="s">
        <v>32</v>
      </c>
      <c r="BD10" s="30" t="s">
        <v>33</v>
      </c>
      <c r="BE10" s="30" t="s">
        <v>34</v>
      </c>
      <c r="BF10" s="30" t="s">
        <v>35</v>
      </c>
      <c r="BG10" s="30" t="s">
        <v>36</v>
      </c>
    </row>
    <row r="11" spans="1:61" ht="13.5" thickTop="1" x14ac:dyDescent="0.2">
      <c r="D11" s="31"/>
      <c r="E11" s="32" t="s">
        <v>39</v>
      </c>
      <c r="F11" s="33"/>
      <c r="G11" s="33"/>
      <c r="H11" s="33"/>
      <c r="I11" s="33"/>
      <c r="K11" s="33"/>
      <c r="L11" s="33"/>
      <c r="M11" s="33"/>
      <c r="N11" s="33"/>
      <c r="O11" s="33"/>
      <c r="P11" s="33"/>
      <c r="Q11" s="33"/>
      <c r="R11" s="33"/>
      <c r="S11" s="33"/>
      <c r="U11" s="33"/>
      <c r="V11" s="33"/>
      <c r="W11" s="33"/>
      <c r="X11" s="33"/>
      <c r="Y11" s="33"/>
      <c r="Z11" s="33"/>
      <c r="AA11" s="33"/>
      <c r="AB11" s="33"/>
      <c r="AC11" s="33"/>
      <c r="AE11" s="33"/>
      <c r="AF11" s="33"/>
      <c r="AG11" s="33"/>
      <c r="AH11" s="33"/>
      <c r="AI11" s="33"/>
      <c r="AJ11" s="33"/>
      <c r="AK11" s="33"/>
      <c r="AL11" s="33"/>
      <c r="AM11" s="33"/>
      <c r="AO11" s="33"/>
      <c r="AP11" s="33"/>
      <c r="AQ11" s="33"/>
      <c r="AR11" s="33"/>
      <c r="AS11" s="33"/>
      <c r="AT11" s="33"/>
      <c r="AU11" s="33"/>
      <c r="AV11" s="33"/>
      <c r="AW11" s="33"/>
      <c r="AY11" s="33"/>
      <c r="AZ11" s="33"/>
      <c r="BA11" s="33"/>
      <c r="BB11" s="33"/>
      <c r="BC11" s="33"/>
      <c r="BD11" s="33"/>
      <c r="BE11" s="33"/>
      <c r="BF11" s="33"/>
      <c r="BG11" s="33"/>
    </row>
    <row r="12" spans="1:61" x14ac:dyDescent="0.2">
      <c r="B12" s="8" t="s">
        <v>40</v>
      </c>
      <c r="C12" s="5" t="s">
        <v>41</v>
      </c>
      <c r="D12" s="34" t="s">
        <v>42</v>
      </c>
      <c r="E12" s="35" t="s">
        <v>43</v>
      </c>
      <c r="F12" s="36"/>
      <c r="G12" s="37"/>
      <c r="H12" s="37"/>
      <c r="I12" s="37"/>
      <c r="J12" s="38"/>
      <c r="K12" s="37"/>
      <c r="L12" s="37"/>
      <c r="M12" s="37">
        <v>175.07300000000001</v>
      </c>
      <c r="N12" s="37">
        <v>173.398</v>
      </c>
      <c r="O12" s="37">
        <v>226.77799999999999</v>
      </c>
      <c r="P12" s="37">
        <v>235.316</v>
      </c>
      <c r="Q12" s="37">
        <v>240.02500000000001</v>
      </c>
      <c r="R12" s="37">
        <v>242.429</v>
      </c>
      <c r="S12" s="37">
        <v>249.25700000000001</v>
      </c>
      <c r="T12" s="38"/>
      <c r="U12" s="37"/>
      <c r="V12" s="37"/>
      <c r="W12" s="37">
        <v>168.048</v>
      </c>
      <c r="X12" s="37">
        <v>159.44499999999999</v>
      </c>
      <c r="Y12" s="37">
        <v>203.58799999999999</v>
      </c>
      <c r="Z12" s="37">
        <v>200.42599999999999</v>
      </c>
      <c r="AA12" s="37">
        <v>195.702</v>
      </c>
      <c r="AB12" s="37">
        <v>189.97399999999999</v>
      </c>
      <c r="AC12" s="37">
        <v>187.42099999999999</v>
      </c>
      <c r="AD12" s="38"/>
      <c r="AE12" s="37"/>
      <c r="AF12" s="37"/>
      <c r="AG12" s="37">
        <v>175.07300000000001</v>
      </c>
      <c r="AH12" s="37">
        <v>173.398</v>
      </c>
      <c r="AI12" s="37">
        <v>226.77799999999999</v>
      </c>
      <c r="AJ12" s="37">
        <v>235.316</v>
      </c>
      <c r="AK12" s="37">
        <v>240.02500000000001</v>
      </c>
      <c r="AL12" s="37">
        <v>242.429</v>
      </c>
      <c r="AM12" s="37">
        <v>249.25700000000001</v>
      </c>
      <c r="AN12" s="38"/>
      <c r="AO12" s="37"/>
      <c r="AP12" s="37"/>
      <c r="AQ12" s="37">
        <v>173.875</v>
      </c>
      <c r="AR12" s="37">
        <v>170.75399999999999</v>
      </c>
      <c r="AS12" s="37">
        <v>221.78100000000001</v>
      </c>
      <c r="AT12" s="37">
        <v>225.17</v>
      </c>
      <c r="AU12" s="37">
        <v>225.38399999999999</v>
      </c>
      <c r="AV12" s="37">
        <v>223.57599999999999</v>
      </c>
      <c r="AW12" s="37">
        <v>225.55099999999999</v>
      </c>
      <c r="AX12" s="38"/>
      <c r="AY12" s="37"/>
      <c r="AZ12" s="37"/>
      <c r="BA12" s="37">
        <v>167.90299999999999</v>
      </c>
      <c r="BB12" s="37">
        <v>159.36199999999999</v>
      </c>
      <c r="BC12" s="37">
        <v>204.709</v>
      </c>
      <c r="BD12" s="37">
        <v>202.48699999999999</v>
      </c>
      <c r="BE12" s="37">
        <v>198.375</v>
      </c>
      <c r="BF12" s="37">
        <v>192.27099999999999</v>
      </c>
      <c r="BG12" s="37">
        <v>189.60400000000001</v>
      </c>
      <c r="BI12" s="10" t="s">
        <v>44</v>
      </c>
    </row>
    <row r="13" spans="1:61" x14ac:dyDescent="0.2">
      <c r="B13" s="8" t="s">
        <v>45</v>
      </c>
      <c r="C13" s="5" t="s">
        <v>46</v>
      </c>
      <c r="D13" s="39" t="s">
        <v>47</v>
      </c>
      <c r="E13" s="35" t="s">
        <v>48</v>
      </c>
      <c r="F13" s="36"/>
      <c r="G13" s="37"/>
      <c r="H13" s="37"/>
      <c r="I13" s="37"/>
      <c r="J13" s="38"/>
      <c r="K13" s="37"/>
      <c r="L13" s="37"/>
      <c r="M13" s="37"/>
      <c r="N13" s="37"/>
      <c r="O13" s="37"/>
      <c r="P13" s="37"/>
      <c r="Q13" s="37"/>
      <c r="R13" s="37"/>
      <c r="S13" s="37"/>
      <c r="T13" s="38"/>
      <c r="U13" s="37"/>
      <c r="V13" s="37"/>
      <c r="W13" s="37"/>
      <c r="X13" s="37"/>
      <c r="Y13" s="37"/>
      <c r="Z13" s="37"/>
      <c r="AA13" s="37"/>
      <c r="AB13" s="37"/>
      <c r="AC13" s="37"/>
      <c r="AD13" s="38"/>
      <c r="AE13" s="37"/>
      <c r="AF13" s="37"/>
      <c r="AG13" s="37"/>
      <c r="AH13" s="37"/>
      <c r="AI13" s="37"/>
      <c r="AJ13" s="37"/>
      <c r="AK13" s="37"/>
      <c r="AL13" s="37"/>
      <c r="AM13" s="37"/>
      <c r="AN13" s="38"/>
      <c r="AO13" s="37"/>
      <c r="AP13" s="37"/>
      <c r="AQ13" s="37"/>
      <c r="AR13" s="37"/>
      <c r="AS13" s="37"/>
      <c r="AT13" s="37"/>
      <c r="AU13" s="37"/>
      <c r="AV13" s="37"/>
      <c r="AW13" s="37"/>
      <c r="AX13" s="38"/>
      <c r="AY13" s="37"/>
      <c r="AZ13" s="37"/>
      <c r="BA13" s="37"/>
      <c r="BB13" s="37"/>
      <c r="BC13" s="37"/>
      <c r="BD13" s="37"/>
      <c r="BE13" s="37"/>
      <c r="BF13" s="37"/>
      <c r="BG13" s="37"/>
      <c r="BI13" s="10" t="s">
        <v>44</v>
      </c>
    </row>
    <row r="14" spans="1:61" x14ac:dyDescent="0.2">
      <c r="B14" s="8" t="s">
        <v>49</v>
      </c>
      <c r="C14" s="5" t="s">
        <v>50</v>
      </c>
      <c r="D14" s="34" t="s">
        <v>51</v>
      </c>
      <c r="E14" s="35" t="s">
        <v>52</v>
      </c>
      <c r="F14" s="36">
        <v>0</v>
      </c>
      <c r="G14" s="37">
        <v>0</v>
      </c>
      <c r="H14" s="37">
        <v>0</v>
      </c>
      <c r="I14" s="37">
        <v>0</v>
      </c>
      <c r="J14" s="38"/>
      <c r="K14" s="37">
        <v>0</v>
      </c>
      <c r="L14" s="37">
        <v>0</v>
      </c>
      <c r="M14" s="37">
        <v>175.07300000000001</v>
      </c>
      <c r="N14" s="37">
        <v>173.398</v>
      </c>
      <c r="O14" s="37">
        <v>226.77799999999999</v>
      </c>
      <c r="P14" s="37">
        <v>235.316</v>
      </c>
      <c r="Q14" s="37">
        <v>240.02500000000001</v>
      </c>
      <c r="R14" s="37">
        <v>242.429</v>
      </c>
      <c r="S14" s="37">
        <v>249.25700000000001</v>
      </c>
      <c r="T14" s="38"/>
      <c r="U14" s="37">
        <v>0</v>
      </c>
      <c r="V14" s="37">
        <v>0</v>
      </c>
      <c r="W14" s="37">
        <v>168.048</v>
      </c>
      <c r="X14" s="37">
        <v>159.44499999999999</v>
      </c>
      <c r="Y14" s="37">
        <v>203.58799999999999</v>
      </c>
      <c r="Z14" s="37">
        <v>200.42599999999999</v>
      </c>
      <c r="AA14" s="37">
        <v>195.702</v>
      </c>
      <c r="AB14" s="37">
        <v>189.97399999999999</v>
      </c>
      <c r="AC14" s="37">
        <v>187.42099999999999</v>
      </c>
      <c r="AD14" s="38"/>
      <c r="AE14" s="37">
        <v>0</v>
      </c>
      <c r="AF14" s="37">
        <v>0</v>
      </c>
      <c r="AG14" s="37">
        <v>175.07300000000001</v>
      </c>
      <c r="AH14" s="37">
        <v>173.398</v>
      </c>
      <c r="AI14" s="37">
        <v>226.77799999999999</v>
      </c>
      <c r="AJ14" s="37">
        <v>235.316</v>
      </c>
      <c r="AK14" s="37">
        <v>240.02500000000001</v>
      </c>
      <c r="AL14" s="37">
        <v>242.429</v>
      </c>
      <c r="AM14" s="37">
        <v>249.25700000000001</v>
      </c>
      <c r="AN14" s="38"/>
      <c r="AO14" s="37">
        <v>0</v>
      </c>
      <c r="AP14" s="37">
        <v>0</v>
      </c>
      <c r="AQ14" s="37">
        <v>173.875</v>
      </c>
      <c r="AR14" s="37">
        <v>170.75399999999999</v>
      </c>
      <c r="AS14" s="37">
        <v>221.78100000000001</v>
      </c>
      <c r="AT14" s="37">
        <v>225.17</v>
      </c>
      <c r="AU14" s="37">
        <v>225.38399999999999</v>
      </c>
      <c r="AV14" s="37">
        <v>223.57599999999999</v>
      </c>
      <c r="AW14" s="37">
        <v>225.55099999999999</v>
      </c>
      <c r="AX14" s="38"/>
      <c r="AY14" s="37">
        <v>0</v>
      </c>
      <c r="AZ14" s="37">
        <v>0</v>
      </c>
      <c r="BA14" s="37">
        <v>167.90299999999999</v>
      </c>
      <c r="BB14" s="37">
        <v>159.36199999999999</v>
      </c>
      <c r="BC14" s="37">
        <v>204.709</v>
      </c>
      <c r="BD14" s="37">
        <v>202.48699999999999</v>
      </c>
      <c r="BE14" s="37">
        <v>198.375</v>
      </c>
      <c r="BF14" s="37">
        <v>192.27099999999999</v>
      </c>
      <c r="BG14" s="37">
        <v>189.60400000000001</v>
      </c>
      <c r="BI14" s="10" t="s">
        <v>44</v>
      </c>
    </row>
    <row r="15" spans="1:61" x14ac:dyDescent="0.2">
      <c r="B15" s="8" t="s">
        <v>53</v>
      </c>
      <c r="C15" s="5" t="s">
        <v>54</v>
      </c>
      <c r="D15" s="39" t="s">
        <v>55</v>
      </c>
      <c r="E15" s="35" t="s">
        <v>56</v>
      </c>
      <c r="F15" s="36"/>
      <c r="G15" s="37"/>
      <c r="H15" s="37"/>
      <c r="I15" s="37"/>
      <c r="K15" s="37"/>
      <c r="L15" s="37"/>
      <c r="M15" s="37">
        <v>-1.675</v>
      </c>
      <c r="N15" s="37">
        <v>3.38</v>
      </c>
      <c r="O15" s="37">
        <v>8.5380000000000003</v>
      </c>
      <c r="P15" s="37">
        <v>4.7089999999999996</v>
      </c>
      <c r="Q15" s="37">
        <v>2.4039999999999999</v>
      </c>
      <c r="R15" s="37">
        <v>6.8280000000000003</v>
      </c>
      <c r="S15" s="37">
        <v>9.9819999999999993</v>
      </c>
      <c r="U15" s="37"/>
      <c r="V15" s="37"/>
      <c r="W15" s="37">
        <v>-8.6029999999999998</v>
      </c>
      <c r="X15" s="37">
        <v>-5.8570000000000002</v>
      </c>
      <c r="Y15" s="37">
        <v>-3.1619999999999999</v>
      </c>
      <c r="Z15" s="37">
        <v>-4.7240000000000002</v>
      </c>
      <c r="AA15" s="37">
        <v>-5.7279999999999998</v>
      </c>
      <c r="AB15" s="37">
        <v>-2.5529999999999999</v>
      </c>
      <c r="AC15" s="37">
        <v>-1.306</v>
      </c>
      <c r="AE15" s="37"/>
      <c r="AF15" s="37"/>
      <c r="AG15" s="37">
        <v>-1.675</v>
      </c>
      <c r="AH15" s="37">
        <v>3.38</v>
      </c>
      <c r="AI15" s="37">
        <v>8.5380000000000003</v>
      </c>
      <c r="AJ15" s="37">
        <v>4.7089999999999996</v>
      </c>
      <c r="AK15" s="37">
        <v>2.4039999999999999</v>
      </c>
      <c r="AL15" s="37">
        <v>6.8280000000000003</v>
      </c>
      <c r="AM15" s="37">
        <v>9.9819999999999993</v>
      </c>
      <c r="AO15" s="37"/>
      <c r="AP15" s="37"/>
      <c r="AQ15" s="37">
        <v>-3.121</v>
      </c>
      <c r="AR15" s="37">
        <v>1.0269999999999999</v>
      </c>
      <c r="AS15" s="37">
        <v>3.3889999999999998</v>
      </c>
      <c r="AT15" s="37">
        <v>0.214</v>
      </c>
      <c r="AU15" s="37">
        <v>-1.8080000000000001</v>
      </c>
      <c r="AV15" s="37">
        <v>1.9750000000000001</v>
      </c>
      <c r="AW15" s="37">
        <v>4.431</v>
      </c>
      <c r="AY15" s="37"/>
      <c r="AZ15" s="37"/>
      <c r="BA15" s="37">
        <v>-8.5410000000000004</v>
      </c>
      <c r="BB15" s="37">
        <v>-4.6529999999999996</v>
      </c>
      <c r="BC15" s="37">
        <v>-2.222</v>
      </c>
      <c r="BD15" s="37">
        <v>-4.1120000000000001</v>
      </c>
      <c r="BE15" s="37">
        <v>-6.1040000000000001</v>
      </c>
      <c r="BF15" s="37">
        <v>-2.6669999999999998</v>
      </c>
      <c r="BG15" s="37">
        <v>-0.48699999999999999</v>
      </c>
      <c r="BI15" s="10" t="s">
        <v>44</v>
      </c>
    </row>
    <row r="16" spans="1:61" x14ac:dyDescent="0.2">
      <c r="D16" s="39" t="s">
        <v>57</v>
      </c>
      <c r="E16" s="35" t="s">
        <v>58</v>
      </c>
      <c r="F16" s="38"/>
      <c r="G16" s="38"/>
      <c r="H16" s="38"/>
      <c r="I16" s="38"/>
      <c r="K16" s="38"/>
      <c r="L16" s="38"/>
      <c r="M16" s="38"/>
      <c r="N16" s="38"/>
      <c r="O16" s="38"/>
      <c r="P16" s="38"/>
      <c r="Q16" s="38"/>
      <c r="R16" s="38"/>
      <c r="S16" s="38"/>
      <c r="U16" s="38"/>
      <c r="V16" s="38"/>
      <c r="W16" s="38"/>
      <c r="X16" s="38"/>
      <c r="Y16" s="38"/>
      <c r="Z16" s="38"/>
      <c r="AA16" s="38"/>
      <c r="AB16" s="38"/>
      <c r="AC16" s="38"/>
      <c r="AE16" s="38"/>
      <c r="AF16" s="38"/>
      <c r="AG16" s="38"/>
      <c r="AH16" s="38"/>
      <c r="AI16" s="38"/>
      <c r="AJ16" s="38"/>
      <c r="AK16" s="38"/>
      <c r="AL16" s="38"/>
      <c r="AM16" s="38"/>
      <c r="AO16" s="38"/>
      <c r="AP16" s="38"/>
      <c r="AQ16" s="38"/>
      <c r="AR16" s="38"/>
      <c r="AS16" s="38"/>
      <c r="AT16" s="38"/>
      <c r="AU16" s="38"/>
      <c r="AV16" s="38"/>
      <c r="AW16" s="38"/>
      <c r="AY16" s="38"/>
      <c r="AZ16" s="38"/>
      <c r="BA16" s="38"/>
      <c r="BB16" s="38"/>
      <c r="BC16" s="38"/>
      <c r="BD16" s="38"/>
      <c r="BE16" s="38"/>
      <c r="BF16" s="38"/>
      <c r="BG16" s="38"/>
    </row>
    <row r="17" spans="1:61" x14ac:dyDescent="0.2">
      <c r="B17" s="8" t="s">
        <v>59</v>
      </c>
      <c r="C17" s="5" t="s">
        <v>60</v>
      </c>
      <c r="D17" s="39" t="s">
        <v>61</v>
      </c>
      <c r="E17" s="40" t="s">
        <v>62</v>
      </c>
      <c r="F17" s="41"/>
      <c r="G17" s="42"/>
      <c r="H17" s="42"/>
      <c r="I17" s="42"/>
      <c r="K17" s="42"/>
      <c r="L17" s="42"/>
      <c r="M17" s="42"/>
      <c r="N17" s="42"/>
      <c r="O17" s="42"/>
      <c r="P17" s="42"/>
      <c r="Q17" s="42"/>
      <c r="R17" s="42"/>
      <c r="S17" s="42"/>
      <c r="U17" s="42"/>
      <c r="V17" s="42"/>
      <c r="W17" s="42"/>
      <c r="X17" s="42"/>
      <c r="Y17" s="42"/>
      <c r="Z17" s="42"/>
      <c r="AA17" s="42"/>
      <c r="AB17" s="42"/>
      <c r="AC17" s="42"/>
      <c r="AE17" s="42"/>
      <c r="AF17" s="42"/>
      <c r="AG17" s="42"/>
      <c r="AH17" s="42"/>
      <c r="AI17" s="42"/>
      <c r="AJ17" s="42"/>
      <c r="AK17" s="42"/>
      <c r="AL17" s="42"/>
      <c r="AM17" s="42"/>
      <c r="AO17" s="42"/>
      <c r="AP17" s="42"/>
      <c r="AQ17" s="42"/>
      <c r="AR17" s="42"/>
      <c r="AS17" s="42"/>
      <c r="AT17" s="42"/>
      <c r="AU17" s="42"/>
      <c r="AV17" s="42"/>
      <c r="AW17" s="42"/>
      <c r="AY17" s="42"/>
      <c r="AZ17" s="42"/>
      <c r="BA17" s="42"/>
      <c r="BB17" s="42"/>
      <c r="BC17" s="42"/>
      <c r="BD17" s="42"/>
      <c r="BE17" s="42"/>
      <c r="BF17" s="42"/>
      <c r="BG17" s="42"/>
      <c r="BI17" s="10" t="s">
        <v>44</v>
      </c>
    </row>
    <row r="18" spans="1:61" x14ac:dyDescent="0.2">
      <c r="B18" s="8" t="s">
        <v>63</v>
      </c>
      <c r="C18" s="5" t="s">
        <v>64</v>
      </c>
      <c r="D18" s="39" t="s">
        <v>65</v>
      </c>
      <c r="E18" s="40" t="s">
        <v>66</v>
      </c>
      <c r="F18" s="41"/>
      <c r="G18" s="42"/>
      <c r="H18" s="42"/>
      <c r="I18" s="42"/>
      <c r="J18" s="38"/>
      <c r="K18" s="42"/>
      <c r="L18" s="42"/>
      <c r="M18" s="42"/>
      <c r="N18" s="42"/>
      <c r="O18" s="42"/>
      <c r="P18" s="42"/>
      <c r="Q18" s="42"/>
      <c r="R18" s="42"/>
      <c r="S18" s="42"/>
      <c r="T18" s="38"/>
      <c r="U18" s="42"/>
      <c r="V18" s="42"/>
      <c r="W18" s="42"/>
      <c r="X18" s="42"/>
      <c r="Y18" s="42"/>
      <c r="Z18" s="42"/>
      <c r="AA18" s="42"/>
      <c r="AB18" s="42"/>
      <c r="AC18" s="42"/>
      <c r="AD18" s="38"/>
      <c r="AE18" s="42"/>
      <c r="AF18" s="42"/>
      <c r="AG18" s="42"/>
      <c r="AH18" s="42"/>
      <c r="AI18" s="42"/>
      <c r="AJ18" s="42"/>
      <c r="AK18" s="42"/>
      <c r="AL18" s="42"/>
      <c r="AM18" s="42"/>
      <c r="AN18" s="38"/>
      <c r="AO18" s="42"/>
      <c r="AP18" s="42"/>
      <c r="AQ18" s="42"/>
      <c r="AR18" s="42"/>
      <c r="AS18" s="42"/>
      <c r="AT18" s="42"/>
      <c r="AU18" s="42"/>
      <c r="AV18" s="42"/>
      <c r="AW18" s="42"/>
      <c r="AX18" s="38"/>
      <c r="AY18" s="42"/>
      <c r="AZ18" s="42"/>
      <c r="BA18" s="42"/>
      <c r="BB18" s="42"/>
      <c r="BC18" s="42"/>
      <c r="BD18" s="42"/>
      <c r="BE18" s="42"/>
      <c r="BF18" s="42"/>
      <c r="BG18" s="42"/>
      <c r="BI18" s="10" t="s">
        <v>44</v>
      </c>
    </row>
    <row r="19" spans="1:61" x14ac:dyDescent="0.2">
      <c r="D19" s="39" t="s">
        <v>57</v>
      </c>
      <c r="E19" s="35" t="s">
        <v>67</v>
      </c>
      <c r="F19" s="38"/>
      <c r="G19" s="38"/>
      <c r="H19" s="38"/>
      <c r="I19" s="38"/>
      <c r="K19" s="38"/>
      <c r="L19" s="38"/>
      <c r="M19" s="38"/>
      <c r="N19" s="38"/>
      <c r="O19" s="38"/>
      <c r="P19" s="38"/>
      <c r="Q19" s="38"/>
      <c r="R19" s="38"/>
      <c r="S19" s="38"/>
      <c r="U19" s="38"/>
      <c r="V19" s="38"/>
      <c r="W19" s="38"/>
      <c r="X19" s="38"/>
      <c r="Y19" s="38"/>
      <c r="Z19" s="38"/>
      <c r="AA19" s="38"/>
      <c r="AB19" s="38"/>
      <c r="AC19" s="38"/>
      <c r="AE19" s="38"/>
      <c r="AF19" s="38"/>
      <c r="AG19" s="38"/>
      <c r="AH19" s="38"/>
      <c r="AI19" s="38"/>
      <c r="AJ19" s="38"/>
      <c r="AK19" s="38"/>
      <c r="AL19" s="38"/>
      <c r="AM19" s="38"/>
      <c r="AO19" s="38"/>
      <c r="AP19" s="38"/>
      <c r="AQ19" s="38"/>
      <c r="AR19" s="38"/>
      <c r="AS19" s="38"/>
      <c r="AT19" s="38"/>
      <c r="AU19" s="38"/>
      <c r="AV19" s="38"/>
      <c r="AW19" s="38"/>
      <c r="AY19" s="38"/>
      <c r="AZ19" s="38"/>
      <c r="BA19" s="38"/>
      <c r="BB19" s="38"/>
      <c r="BC19" s="38"/>
      <c r="BD19" s="38"/>
      <c r="BE19" s="38"/>
      <c r="BF19" s="38"/>
      <c r="BG19" s="38"/>
    </row>
    <row r="20" spans="1:61" x14ac:dyDescent="0.2">
      <c r="B20" s="8" t="s">
        <v>68</v>
      </c>
      <c r="C20" s="5" t="s">
        <v>69</v>
      </c>
      <c r="D20" s="39" t="s">
        <v>70</v>
      </c>
      <c r="E20" s="40" t="s">
        <v>71</v>
      </c>
      <c r="F20" s="41"/>
      <c r="G20" s="42"/>
      <c r="H20" s="42"/>
      <c r="I20" s="42"/>
      <c r="K20" s="42"/>
      <c r="L20" s="42"/>
      <c r="M20" s="42"/>
      <c r="N20" s="42">
        <v>50</v>
      </c>
      <c r="O20" s="42"/>
      <c r="P20" s="42"/>
      <c r="Q20" s="42"/>
      <c r="R20" s="42"/>
      <c r="S20" s="42"/>
      <c r="U20" s="42"/>
      <c r="V20" s="42"/>
      <c r="W20" s="42"/>
      <c r="X20" s="42">
        <v>50</v>
      </c>
      <c r="Y20" s="42"/>
      <c r="Z20" s="42"/>
      <c r="AA20" s="42"/>
      <c r="AB20" s="42"/>
      <c r="AC20" s="42"/>
      <c r="AE20" s="42"/>
      <c r="AF20" s="42"/>
      <c r="AG20" s="42"/>
      <c r="AH20" s="42">
        <v>50</v>
      </c>
      <c r="AI20" s="42"/>
      <c r="AJ20" s="42"/>
      <c r="AK20" s="42"/>
      <c r="AL20" s="42"/>
      <c r="AM20" s="42"/>
      <c r="AO20" s="42"/>
      <c r="AP20" s="42"/>
      <c r="AQ20" s="42"/>
      <c r="AR20" s="42">
        <v>50</v>
      </c>
      <c r="AS20" s="42"/>
      <c r="AT20" s="42"/>
      <c r="AU20" s="42"/>
      <c r="AV20" s="42"/>
      <c r="AW20" s="42"/>
      <c r="AY20" s="42"/>
      <c r="AZ20" s="42"/>
      <c r="BA20" s="42"/>
      <c r="BB20" s="42">
        <v>50</v>
      </c>
      <c r="BC20" s="42"/>
      <c r="BD20" s="42"/>
      <c r="BE20" s="42"/>
      <c r="BF20" s="42"/>
      <c r="BG20" s="42"/>
      <c r="BI20" s="10" t="s">
        <v>44</v>
      </c>
    </row>
    <row r="21" spans="1:61" x14ac:dyDescent="0.2">
      <c r="B21" s="8" t="s">
        <v>72</v>
      </c>
      <c r="C21" s="5" t="s">
        <v>73</v>
      </c>
      <c r="D21" s="39" t="s">
        <v>74</v>
      </c>
      <c r="E21" s="40" t="s">
        <v>75</v>
      </c>
      <c r="F21" s="36"/>
      <c r="G21" s="37"/>
      <c r="H21" s="37"/>
      <c r="I21" s="37"/>
      <c r="K21" s="37"/>
      <c r="L21" s="37"/>
      <c r="M21" s="37"/>
      <c r="N21" s="37"/>
      <c r="O21" s="37"/>
      <c r="P21" s="37"/>
      <c r="Q21" s="37"/>
      <c r="R21" s="37"/>
      <c r="S21" s="37"/>
      <c r="U21" s="37"/>
      <c r="V21" s="37"/>
      <c r="W21" s="37"/>
      <c r="X21" s="37"/>
      <c r="Y21" s="37"/>
      <c r="Z21" s="37"/>
      <c r="AA21" s="37"/>
      <c r="AB21" s="37"/>
      <c r="AC21" s="37"/>
      <c r="AE21" s="37"/>
      <c r="AF21" s="37"/>
      <c r="AG21" s="37"/>
      <c r="AH21" s="37"/>
      <c r="AI21" s="37"/>
      <c r="AJ21" s="37"/>
      <c r="AK21" s="37"/>
      <c r="AL21" s="37"/>
      <c r="AM21" s="37"/>
      <c r="AO21" s="37"/>
      <c r="AP21" s="37"/>
      <c r="AQ21" s="37"/>
      <c r="AR21" s="37"/>
      <c r="AS21" s="37"/>
      <c r="AT21" s="37"/>
      <c r="AU21" s="37"/>
      <c r="AV21" s="37"/>
      <c r="AW21" s="37"/>
      <c r="AY21" s="37"/>
      <c r="AZ21" s="37"/>
      <c r="BA21" s="37"/>
      <c r="BB21" s="37"/>
      <c r="BC21" s="37"/>
      <c r="BD21" s="37"/>
      <c r="BE21" s="37"/>
      <c r="BF21" s="37"/>
      <c r="BG21" s="37"/>
      <c r="BI21" s="10" t="s">
        <v>44</v>
      </c>
    </row>
    <row r="22" spans="1:61" x14ac:dyDescent="0.2">
      <c r="B22" s="8" t="s">
        <v>76</v>
      </c>
      <c r="C22" s="5" t="s">
        <v>77</v>
      </c>
      <c r="D22" s="39" t="s">
        <v>78</v>
      </c>
      <c r="E22" s="35" t="s">
        <v>79</v>
      </c>
      <c r="F22" s="36"/>
      <c r="G22" s="37"/>
      <c r="H22" s="37"/>
      <c r="I22" s="37"/>
      <c r="K22" s="37"/>
      <c r="L22" s="37"/>
      <c r="M22" s="37"/>
      <c r="N22" s="37"/>
      <c r="O22" s="37"/>
      <c r="P22" s="37"/>
      <c r="Q22" s="37"/>
      <c r="R22" s="37"/>
      <c r="S22" s="37"/>
      <c r="U22" s="37"/>
      <c r="V22" s="37"/>
      <c r="W22" s="37"/>
      <c r="X22" s="37"/>
      <c r="Y22" s="37"/>
      <c r="Z22" s="37"/>
      <c r="AA22" s="37"/>
      <c r="AB22" s="37"/>
      <c r="AC22" s="37"/>
      <c r="AE22" s="37"/>
      <c r="AF22" s="37"/>
      <c r="AG22" s="37"/>
      <c r="AH22" s="37"/>
      <c r="AI22" s="37"/>
      <c r="AJ22" s="37"/>
      <c r="AK22" s="37"/>
      <c r="AL22" s="37"/>
      <c r="AM22" s="37"/>
      <c r="AO22" s="37"/>
      <c r="AP22" s="37"/>
      <c r="AQ22" s="37"/>
      <c r="AR22" s="37"/>
      <c r="AS22" s="37"/>
      <c r="AT22" s="37"/>
      <c r="AU22" s="37"/>
      <c r="AV22" s="37"/>
      <c r="AW22" s="37"/>
      <c r="AY22" s="37"/>
      <c r="AZ22" s="37"/>
      <c r="BA22" s="37"/>
      <c r="BB22" s="37"/>
      <c r="BC22" s="37"/>
      <c r="BD22" s="37"/>
      <c r="BE22" s="37"/>
      <c r="BF22" s="37"/>
      <c r="BG22" s="37"/>
      <c r="BI22" s="10" t="s">
        <v>44</v>
      </c>
    </row>
    <row r="23" spans="1:61" x14ac:dyDescent="0.2">
      <c r="B23" s="8" t="s">
        <v>80</v>
      </c>
      <c r="C23" s="5" t="s">
        <v>81</v>
      </c>
      <c r="D23" s="39" t="s">
        <v>82</v>
      </c>
      <c r="E23" s="35" t="s">
        <v>83</v>
      </c>
      <c r="F23" s="36"/>
      <c r="G23" s="37"/>
      <c r="H23" s="37"/>
      <c r="I23" s="37"/>
      <c r="J23" s="38"/>
      <c r="K23" s="37"/>
      <c r="L23" s="37"/>
      <c r="M23" s="37"/>
      <c r="N23" s="37"/>
      <c r="O23" s="37"/>
      <c r="P23" s="37"/>
      <c r="Q23" s="37"/>
      <c r="R23" s="37"/>
      <c r="S23" s="37"/>
      <c r="T23" s="38"/>
      <c r="U23" s="37"/>
      <c r="V23" s="37"/>
      <c r="W23" s="37"/>
      <c r="X23" s="37"/>
      <c r="Y23" s="37"/>
      <c r="Z23" s="37"/>
      <c r="AA23" s="37"/>
      <c r="AB23" s="37"/>
      <c r="AC23" s="37"/>
      <c r="AD23" s="38"/>
      <c r="AE23" s="37"/>
      <c r="AF23" s="37"/>
      <c r="AG23" s="37"/>
      <c r="AH23" s="37"/>
      <c r="AI23" s="37"/>
      <c r="AJ23" s="37"/>
      <c r="AK23" s="37"/>
      <c r="AL23" s="37"/>
      <c r="AM23" s="37"/>
      <c r="AN23" s="38"/>
      <c r="AO23" s="37"/>
      <c r="AP23" s="37"/>
      <c r="AQ23" s="37"/>
      <c r="AR23" s="37"/>
      <c r="AS23" s="37"/>
      <c r="AT23" s="37"/>
      <c r="AU23" s="37"/>
      <c r="AV23" s="37"/>
      <c r="AW23" s="37"/>
      <c r="AX23" s="38"/>
      <c r="AY23" s="37"/>
      <c r="AZ23" s="37"/>
      <c r="BA23" s="37"/>
      <c r="BB23" s="37"/>
      <c r="BC23" s="37"/>
      <c r="BD23" s="37"/>
      <c r="BE23" s="37"/>
      <c r="BF23" s="37"/>
      <c r="BG23" s="37"/>
      <c r="BI23" s="10" t="s">
        <v>44</v>
      </c>
    </row>
    <row r="24" spans="1:61" x14ac:dyDescent="0.2">
      <c r="B24" s="8" t="s">
        <v>84</v>
      </c>
      <c r="C24" s="5" t="s">
        <v>85</v>
      </c>
      <c r="D24" s="39" t="s">
        <v>86</v>
      </c>
      <c r="E24" s="35" t="s">
        <v>87</v>
      </c>
      <c r="F24" s="36"/>
      <c r="G24" s="37"/>
      <c r="H24" s="37"/>
      <c r="I24" s="37"/>
      <c r="K24" s="37"/>
      <c r="L24" s="37"/>
      <c r="M24" s="37"/>
      <c r="N24" s="37"/>
      <c r="O24" s="37"/>
      <c r="P24" s="37"/>
      <c r="Q24" s="37"/>
      <c r="R24" s="37"/>
      <c r="S24" s="37"/>
      <c r="U24" s="37"/>
      <c r="V24" s="37"/>
      <c r="W24" s="37"/>
      <c r="X24" s="37"/>
      <c r="Y24" s="37"/>
      <c r="Z24" s="37"/>
      <c r="AA24" s="37"/>
      <c r="AB24" s="37"/>
      <c r="AC24" s="37"/>
      <c r="AE24" s="37"/>
      <c r="AF24" s="37"/>
      <c r="AG24" s="37"/>
      <c r="AH24" s="37"/>
      <c r="AI24" s="37"/>
      <c r="AJ24" s="37"/>
      <c r="AK24" s="37"/>
      <c r="AL24" s="37"/>
      <c r="AM24" s="37"/>
      <c r="AO24" s="37"/>
      <c r="AP24" s="37"/>
      <c r="AQ24" s="37"/>
      <c r="AR24" s="37"/>
      <c r="AS24" s="37"/>
      <c r="AT24" s="37"/>
      <c r="AU24" s="37"/>
      <c r="AV24" s="37"/>
      <c r="AW24" s="37"/>
      <c r="AY24" s="37"/>
      <c r="AZ24" s="37"/>
      <c r="BA24" s="37"/>
      <c r="BB24" s="37"/>
      <c r="BC24" s="37"/>
      <c r="BD24" s="37"/>
      <c r="BE24" s="37"/>
      <c r="BF24" s="37"/>
      <c r="BG24" s="37"/>
      <c r="BI24" s="10" t="s">
        <v>44</v>
      </c>
    </row>
    <row r="25" spans="1:61" x14ac:dyDescent="0.2">
      <c r="B25" s="8" t="s">
        <v>88</v>
      </c>
      <c r="C25" s="5" t="s">
        <v>89</v>
      </c>
      <c r="D25" s="39" t="s">
        <v>90</v>
      </c>
      <c r="E25" s="35" t="s">
        <v>91</v>
      </c>
      <c r="F25" s="41"/>
      <c r="G25" s="42"/>
      <c r="H25" s="42"/>
      <c r="I25" s="42"/>
      <c r="K25" s="42"/>
      <c r="L25" s="42"/>
      <c r="M25" s="42"/>
      <c r="N25" s="42"/>
      <c r="O25" s="42"/>
      <c r="P25" s="42"/>
      <c r="Q25" s="42"/>
      <c r="R25" s="42"/>
      <c r="S25" s="42"/>
      <c r="U25" s="42"/>
      <c r="V25" s="42"/>
      <c r="W25" s="42"/>
      <c r="X25" s="42"/>
      <c r="Y25" s="42"/>
      <c r="Z25" s="42"/>
      <c r="AA25" s="42"/>
      <c r="AB25" s="42"/>
      <c r="AC25" s="42"/>
      <c r="AE25" s="42"/>
      <c r="AF25" s="42"/>
      <c r="AG25" s="42"/>
      <c r="AH25" s="42"/>
      <c r="AI25" s="42"/>
      <c r="AJ25" s="42"/>
      <c r="AK25" s="42"/>
      <c r="AL25" s="42"/>
      <c r="AM25" s="42"/>
      <c r="AO25" s="42"/>
      <c r="AP25" s="42"/>
      <c r="AQ25" s="42"/>
      <c r="AR25" s="42"/>
      <c r="AS25" s="42"/>
      <c r="AT25" s="42"/>
      <c r="AU25" s="42"/>
      <c r="AV25" s="42"/>
      <c r="AW25" s="42"/>
      <c r="AY25" s="42"/>
      <c r="AZ25" s="42"/>
      <c r="BA25" s="42"/>
      <c r="BB25" s="42"/>
      <c r="BC25" s="42"/>
      <c r="BD25" s="42"/>
      <c r="BE25" s="42"/>
      <c r="BF25" s="42"/>
      <c r="BG25" s="42"/>
      <c r="BI25" s="10" t="s">
        <v>44</v>
      </c>
    </row>
    <row r="26" spans="1:61" x14ac:dyDescent="0.2">
      <c r="B26" s="8" t="s">
        <v>92</v>
      </c>
      <c r="C26" s="5" t="s">
        <v>93</v>
      </c>
      <c r="D26" s="39" t="s">
        <v>94</v>
      </c>
      <c r="E26" s="35" t="s">
        <v>95</v>
      </c>
      <c r="F26" s="41"/>
      <c r="G26" s="42"/>
      <c r="H26" s="42"/>
      <c r="I26" s="42"/>
      <c r="J26" s="38"/>
      <c r="K26" s="42"/>
      <c r="L26" s="42"/>
      <c r="M26" s="42"/>
      <c r="N26" s="42"/>
      <c r="O26" s="42"/>
      <c r="P26" s="42"/>
      <c r="Q26" s="42"/>
      <c r="R26" s="42"/>
      <c r="S26" s="42"/>
      <c r="T26" s="38"/>
      <c r="U26" s="42"/>
      <c r="V26" s="42"/>
      <c r="W26" s="42"/>
      <c r="X26" s="42"/>
      <c r="Y26" s="42"/>
      <c r="Z26" s="42"/>
      <c r="AA26" s="42"/>
      <c r="AB26" s="42"/>
      <c r="AC26" s="42"/>
      <c r="AD26" s="38"/>
      <c r="AE26" s="42"/>
      <c r="AF26" s="42"/>
      <c r="AG26" s="42"/>
      <c r="AH26" s="42"/>
      <c r="AI26" s="42"/>
      <c r="AJ26" s="42"/>
      <c r="AK26" s="42"/>
      <c r="AL26" s="42"/>
      <c r="AM26" s="42"/>
      <c r="AN26" s="38"/>
      <c r="AO26" s="42"/>
      <c r="AP26" s="42"/>
      <c r="AQ26" s="42"/>
      <c r="AR26" s="42"/>
      <c r="AS26" s="42"/>
      <c r="AT26" s="42"/>
      <c r="AU26" s="42"/>
      <c r="AV26" s="42"/>
      <c r="AW26" s="42"/>
      <c r="AX26" s="38"/>
      <c r="AY26" s="42"/>
      <c r="AZ26" s="42"/>
      <c r="BA26" s="42"/>
      <c r="BB26" s="42"/>
      <c r="BC26" s="42"/>
      <c r="BD26" s="42"/>
      <c r="BE26" s="42"/>
      <c r="BF26" s="42"/>
      <c r="BG26" s="42"/>
      <c r="BI26" s="10" t="s">
        <v>44</v>
      </c>
    </row>
    <row r="27" spans="1:61" x14ac:dyDescent="0.2">
      <c r="A27" s="11"/>
      <c r="B27" s="8" t="s">
        <v>96</v>
      </c>
      <c r="C27" s="5" t="s">
        <v>97</v>
      </c>
      <c r="D27" s="39" t="s">
        <v>98</v>
      </c>
      <c r="E27" s="35" t="s">
        <v>99</v>
      </c>
      <c r="F27" s="41">
        <v>0</v>
      </c>
      <c r="G27" s="42">
        <v>0</v>
      </c>
      <c r="H27" s="42">
        <v>0</v>
      </c>
      <c r="I27" s="42">
        <v>0</v>
      </c>
      <c r="K27" s="42">
        <v>0</v>
      </c>
      <c r="L27" s="42">
        <v>0</v>
      </c>
      <c r="M27" s="42">
        <v>0</v>
      </c>
      <c r="N27" s="42">
        <v>0</v>
      </c>
      <c r="O27" s="42">
        <v>0</v>
      </c>
      <c r="P27" s="42">
        <v>0</v>
      </c>
      <c r="Q27" s="42">
        <v>0</v>
      </c>
      <c r="R27" s="42">
        <v>0</v>
      </c>
      <c r="S27" s="42">
        <v>0</v>
      </c>
      <c r="U27" s="42">
        <v>0</v>
      </c>
      <c r="V27" s="42">
        <v>0</v>
      </c>
      <c r="W27" s="42">
        <v>0</v>
      </c>
      <c r="X27" s="42">
        <v>0</v>
      </c>
      <c r="Y27" s="42">
        <v>0</v>
      </c>
      <c r="Z27" s="42">
        <v>0</v>
      </c>
      <c r="AA27" s="42">
        <v>0</v>
      </c>
      <c r="AB27" s="42">
        <v>0</v>
      </c>
      <c r="AC27" s="42">
        <v>0</v>
      </c>
      <c r="AE27" s="42">
        <v>0</v>
      </c>
      <c r="AF27" s="42">
        <v>0</v>
      </c>
      <c r="AG27" s="42">
        <v>0</v>
      </c>
      <c r="AH27" s="42">
        <v>0</v>
      </c>
      <c r="AI27" s="42">
        <v>0</v>
      </c>
      <c r="AJ27" s="42">
        <v>0</v>
      </c>
      <c r="AK27" s="42">
        <v>0</v>
      </c>
      <c r="AL27" s="42">
        <v>0</v>
      </c>
      <c r="AM27" s="42">
        <v>0</v>
      </c>
      <c r="AO27" s="42">
        <v>0</v>
      </c>
      <c r="AP27" s="42">
        <v>0</v>
      </c>
      <c r="AQ27" s="42">
        <v>0</v>
      </c>
      <c r="AR27" s="42">
        <v>0</v>
      </c>
      <c r="AS27" s="42">
        <v>0</v>
      </c>
      <c r="AT27" s="42">
        <v>0</v>
      </c>
      <c r="AU27" s="42">
        <v>0</v>
      </c>
      <c r="AV27" s="42">
        <v>0</v>
      </c>
      <c r="AW27" s="42">
        <v>0</v>
      </c>
      <c r="AY27" s="42">
        <v>0</v>
      </c>
      <c r="AZ27" s="42">
        <v>0</v>
      </c>
      <c r="BA27" s="42">
        <v>0</v>
      </c>
      <c r="BB27" s="42">
        <v>0</v>
      </c>
      <c r="BC27" s="42">
        <v>0</v>
      </c>
      <c r="BD27" s="42">
        <v>0</v>
      </c>
      <c r="BE27" s="42">
        <v>0</v>
      </c>
      <c r="BF27" s="42">
        <v>0</v>
      </c>
      <c r="BG27" s="42">
        <v>0</v>
      </c>
      <c r="BI27" s="10" t="s">
        <v>44</v>
      </c>
    </row>
    <row r="28" spans="1:61" x14ac:dyDescent="0.2">
      <c r="A28" s="11"/>
      <c r="B28" s="8" t="s">
        <v>100</v>
      </c>
      <c r="C28" s="5" t="s">
        <v>101</v>
      </c>
      <c r="D28" s="39" t="s">
        <v>102</v>
      </c>
      <c r="E28" s="35" t="s">
        <v>103</v>
      </c>
      <c r="F28" s="41"/>
      <c r="G28" s="42"/>
      <c r="H28" s="42"/>
      <c r="I28" s="42"/>
      <c r="J28" s="38"/>
      <c r="K28" s="42"/>
      <c r="L28" s="42"/>
      <c r="M28" s="42"/>
      <c r="N28" s="42"/>
      <c r="O28" s="42"/>
      <c r="P28" s="42"/>
      <c r="Q28" s="42"/>
      <c r="R28" s="42"/>
      <c r="S28" s="42"/>
      <c r="T28" s="38"/>
      <c r="U28" s="42"/>
      <c r="V28" s="42"/>
      <c r="W28" s="42"/>
      <c r="X28" s="42"/>
      <c r="Y28" s="42"/>
      <c r="Z28" s="42"/>
      <c r="AA28" s="42"/>
      <c r="AB28" s="42"/>
      <c r="AC28" s="42"/>
      <c r="AD28" s="38"/>
      <c r="AE28" s="42"/>
      <c r="AF28" s="42"/>
      <c r="AG28" s="42"/>
      <c r="AH28" s="42"/>
      <c r="AI28" s="42"/>
      <c r="AJ28" s="42"/>
      <c r="AK28" s="42"/>
      <c r="AL28" s="42"/>
      <c r="AM28" s="42"/>
      <c r="AN28" s="38"/>
      <c r="AO28" s="42"/>
      <c r="AP28" s="42"/>
      <c r="AQ28" s="42"/>
      <c r="AR28" s="42"/>
      <c r="AS28" s="42"/>
      <c r="AT28" s="42"/>
      <c r="AU28" s="42"/>
      <c r="AV28" s="42"/>
      <c r="AW28" s="42"/>
      <c r="AX28" s="38"/>
      <c r="AY28" s="42"/>
      <c r="AZ28" s="42"/>
      <c r="BA28" s="42"/>
      <c r="BB28" s="42"/>
      <c r="BC28" s="42"/>
      <c r="BD28" s="42"/>
      <c r="BE28" s="42"/>
      <c r="BF28" s="42"/>
      <c r="BG28" s="42"/>
      <c r="BI28" s="10" t="s">
        <v>44</v>
      </c>
    </row>
    <row r="29" spans="1:61" x14ac:dyDescent="0.2">
      <c r="A29" s="11"/>
      <c r="B29" s="8" t="s">
        <v>104</v>
      </c>
      <c r="C29" s="5" t="s">
        <v>105</v>
      </c>
      <c r="D29" s="39" t="s">
        <v>106</v>
      </c>
      <c r="E29" s="43" t="s">
        <v>107</v>
      </c>
      <c r="F29" s="44"/>
      <c r="G29" s="45"/>
      <c r="H29" s="45"/>
      <c r="I29" s="45"/>
      <c r="K29" s="45"/>
      <c r="L29" s="45"/>
      <c r="M29" s="45"/>
      <c r="N29" s="45"/>
      <c r="O29" s="45">
        <v>0</v>
      </c>
      <c r="P29" s="45"/>
      <c r="Q29" s="45"/>
      <c r="R29" s="45"/>
      <c r="S29" s="45"/>
      <c r="U29" s="45"/>
      <c r="V29" s="45"/>
      <c r="W29" s="45"/>
      <c r="X29" s="45"/>
      <c r="Y29" s="45"/>
      <c r="Z29" s="45"/>
      <c r="AA29" s="45"/>
      <c r="AB29" s="45"/>
      <c r="AC29" s="45"/>
      <c r="AE29" s="45"/>
      <c r="AF29" s="45"/>
      <c r="AG29" s="45"/>
      <c r="AH29" s="45"/>
      <c r="AI29" s="45">
        <v>0</v>
      </c>
      <c r="AJ29" s="45"/>
      <c r="AK29" s="45"/>
      <c r="AL29" s="45"/>
      <c r="AM29" s="45"/>
      <c r="AO29" s="45"/>
      <c r="AP29" s="45"/>
      <c r="AQ29" s="45"/>
      <c r="AR29" s="45"/>
      <c r="AS29" s="45"/>
      <c r="AT29" s="45"/>
      <c r="AU29" s="45"/>
      <c r="AV29" s="45"/>
      <c r="AW29" s="45"/>
      <c r="AY29" s="45"/>
      <c r="AZ29" s="45"/>
      <c r="BA29" s="45"/>
      <c r="BB29" s="45"/>
      <c r="BC29" s="45"/>
      <c r="BD29" s="45"/>
      <c r="BE29" s="45"/>
      <c r="BF29" s="45"/>
      <c r="BG29" s="45"/>
      <c r="BI29" s="10" t="s">
        <v>44</v>
      </c>
    </row>
    <row r="30" spans="1:61" x14ac:dyDescent="0.2">
      <c r="B30" s="8" t="s">
        <v>108</v>
      </c>
      <c r="C30" s="5" t="s">
        <v>109</v>
      </c>
      <c r="D30" s="39" t="s">
        <v>110</v>
      </c>
      <c r="E30" s="46" t="s">
        <v>111</v>
      </c>
      <c r="F30" s="47">
        <v>0</v>
      </c>
      <c r="G30" s="48">
        <v>0</v>
      </c>
      <c r="H30" s="48">
        <v>0</v>
      </c>
      <c r="I30" s="48">
        <v>0</v>
      </c>
      <c r="K30" s="48">
        <v>0</v>
      </c>
      <c r="L30" s="48">
        <v>0</v>
      </c>
      <c r="M30" s="48">
        <v>173.398</v>
      </c>
      <c r="N30" s="48">
        <v>226.77799999999999</v>
      </c>
      <c r="O30" s="48">
        <v>235.316</v>
      </c>
      <c r="P30" s="48">
        <v>240.02500000000001</v>
      </c>
      <c r="Q30" s="48">
        <v>242.429</v>
      </c>
      <c r="R30" s="48">
        <v>249.25700000000001</v>
      </c>
      <c r="S30" s="48">
        <v>259.23899999999998</v>
      </c>
      <c r="U30" s="48">
        <v>0</v>
      </c>
      <c r="V30" s="48">
        <v>0</v>
      </c>
      <c r="W30" s="48">
        <v>159.44499999999999</v>
      </c>
      <c r="X30" s="48">
        <v>203.58799999999999</v>
      </c>
      <c r="Y30" s="48">
        <v>200.42599999999999</v>
      </c>
      <c r="Z30" s="48">
        <v>195.702</v>
      </c>
      <c r="AA30" s="48">
        <v>189.97399999999999</v>
      </c>
      <c r="AB30" s="48">
        <v>187.42099999999999</v>
      </c>
      <c r="AC30" s="48">
        <v>186.11500000000001</v>
      </c>
      <c r="AE30" s="48">
        <v>0</v>
      </c>
      <c r="AF30" s="48">
        <v>0</v>
      </c>
      <c r="AG30" s="48">
        <v>173.398</v>
      </c>
      <c r="AH30" s="48">
        <v>226.77799999999999</v>
      </c>
      <c r="AI30" s="48">
        <v>235.316</v>
      </c>
      <c r="AJ30" s="48">
        <v>240.02500000000001</v>
      </c>
      <c r="AK30" s="48">
        <v>242.429</v>
      </c>
      <c r="AL30" s="48">
        <v>249.25700000000001</v>
      </c>
      <c r="AM30" s="48">
        <v>259.23899999999998</v>
      </c>
      <c r="AO30" s="48">
        <v>0</v>
      </c>
      <c r="AP30" s="48">
        <v>0</v>
      </c>
      <c r="AQ30" s="48">
        <v>170.75399999999999</v>
      </c>
      <c r="AR30" s="48">
        <v>221.78100000000001</v>
      </c>
      <c r="AS30" s="48">
        <v>225.17</v>
      </c>
      <c r="AT30" s="48">
        <v>225.38399999999999</v>
      </c>
      <c r="AU30" s="48">
        <v>223.57599999999999</v>
      </c>
      <c r="AV30" s="48">
        <v>225.55099999999999</v>
      </c>
      <c r="AW30" s="48">
        <v>229.982</v>
      </c>
      <c r="AY30" s="48">
        <v>0</v>
      </c>
      <c r="AZ30" s="48">
        <v>0</v>
      </c>
      <c r="BA30" s="48">
        <v>159.36199999999999</v>
      </c>
      <c r="BB30" s="48">
        <v>204.709</v>
      </c>
      <c r="BC30" s="48">
        <v>202.48699999999999</v>
      </c>
      <c r="BD30" s="48">
        <v>198.375</v>
      </c>
      <c r="BE30" s="48">
        <v>192.27099999999999</v>
      </c>
      <c r="BF30" s="48">
        <v>189.60400000000001</v>
      </c>
      <c r="BG30" s="48">
        <v>189.11699999999999</v>
      </c>
      <c r="BI30" s="10" t="s">
        <v>44</v>
      </c>
    </row>
    <row r="31" spans="1:61" x14ac:dyDescent="0.2">
      <c r="D31" s="39" t="s">
        <v>57</v>
      </c>
      <c r="E31" s="40"/>
      <c r="F31" s="38"/>
      <c r="G31" s="38"/>
      <c r="H31" s="38"/>
      <c r="I31" s="38"/>
      <c r="K31" s="38"/>
      <c r="L31" s="38"/>
      <c r="M31" s="38"/>
      <c r="N31" s="38"/>
      <c r="O31" s="38"/>
      <c r="P31" s="38"/>
      <c r="Q31" s="38"/>
      <c r="R31" s="38"/>
      <c r="S31" s="38"/>
      <c r="U31" s="38"/>
      <c r="V31" s="38"/>
      <c r="W31" s="38"/>
      <c r="X31" s="38"/>
      <c r="Y31" s="38"/>
      <c r="Z31" s="38"/>
      <c r="AA31" s="38"/>
      <c r="AB31" s="38"/>
      <c r="AC31" s="38"/>
      <c r="AE31" s="38"/>
      <c r="AF31" s="38"/>
      <c r="AG31" s="38"/>
      <c r="AH31" s="38"/>
      <c r="AI31" s="38"/>
      <c r="AJ31" s="38"/>
      <c r="AK31" s="38"/>
      <c r="AL31" s="38"/>
      <c r="AM31" s="38"/>
      <c r="AO31" s="38"/>
      <c r="AP31" s="38"/>
      <c r="AQ31" s="38"/>
      <c r="AR31" s="38"/>
      <c r="AS31" s="38"/>
      <c r="AT31" s="38"/>
      <c r="AU31" s="38"/>
      <c r="AV31" s="38"/>
      <c r="AW31" s="38"/>
      <c r="AY31" s="38"/>
      <c r="AZ31" s="38"/>
      <c r="BA31" s="38"/>
      <c r="BB31" s="38"/>
      <c r="BC31" s="38"/>
      <c r="BD31" s="38"/>
      <c r="BE31" s="38"/>
      <c r="BF31" s="38"/>
      <c r="BG31" s="38"/>
    </row>
    <row r="32" spans="1:61" hidden="1" x14ac:dyDescent="0.2">
      <c r="B32" s="8" t="s">
        <v>1</v>
      </c>
      <c r="D32" s="34" t="s">
        <v>57</v>
      </c>
      <c r="E32" s="8" t="str">
        <f>+VLOOKUP($E$2,[3]Sheet1!$B$1:$C$11,2,FALSE)</f>
        <v>SIS</v>
      </c>
      <c r="F32" s="9" t="str">
        <f>+$E$32</f>
        <v>SIS</v>
      </c>
      <c r="G32" s="9" t="str">
        <f t="shared" ref="G32:I32" si="2">+$E$32</f>
        <v>SIS</v>
      </c>
      <c r="H32" s="9" t="str">
        <f t="shared" si="2"/>
        <v>SIS</v>
      </c>
      <c r="I32" s="9" t="str">
        <f t="shared" si="2"/>
        <v>SIS</v>
      </c>
      <c r="J32" s="9"/>
      <c r="K32" s="9" t="str">
        <f t="shared" ref="K32:S32" si="3">+$E$32</f>
        <v>SIS</v>
      </c>
      <c r="L32" s="9" t="str">
        <f t="shared" si="3"/>
        <v>SIS</v>
      </c>
      <c r="M32" s="9" t="str">
        <f t="shared" si="3"/>
        <v>SIS</v>
      </c>
      <c r="N32" s="9" t="str">
        <f t="shared" si="3"/>
        <v>SIS</v>
      </c>
      <c r="O32" s="9" t="str">
        <f t="shared" si="3"/>
        <v>SIS</v>
      </c>
      <c r="P32" s="9" t="str">
        <f t="shared" si="3"/>
        <v>SIS</v>
      </c>
      <c r="Q32" s="9" t="str">
        <f t="shared" si="3"/>
        <v>SIS</v>
      </c>
      <c r="R32" s="9" t="str">
        <f t="shared" si="3"/>
        <v>SIS</v>
      </c>
      <c r="S32" s="9" t="str">
        <f t="shared" si="3"/>
        <v>SIS</v>
      </c>
      <c r="T32" s="9"/>
      <c r="U32" s="9" t="str">
        <f t="shared" ref="U32:AC32" si="4">+$E$32</f>
        <v>SIS</v>
      </c>
      <c r="V32" s="9" t="str">
        <f t="shared" si="4"/>
        <v>SIS</v>
      </c>
      <c r="W32" s="9" t="str">
        <f t="shared" si="4"/>
        <v>SIS</v>
      </c>
      <c r="X32" s="9" t="str">
        <f t="shared" si="4"/>
        <v>SIS</v>
      </c>
      <c r="Y32" s="9" t="str">
        <f t="shared" si="4"/>
        <v>SIS</v>
      </c>
      <c r="Z32" s="9" t="str">
        <f t="shared" si="4"/>
        <v>SIS</v>
      </c>
      <c r="AA32" s="9" t="str">
        <f t="shared" si="4"/>
        <v>SIS</v>
      </c>
      <c r="AB32" s="9" t="str">
        <f t="shared" si="4"/>
        <v>SIS</v>
      </c>
      <c r="AC32" s="9" t="str">
        <f t="shared" si="4"/>
        <v>SIS</v>
      </c>
      <c r="AD32" s="9"/>
      <c r="AE32" s="9" t="str">
        <f t="shared" ref="AE32:AM32" si="5">+$E$32</f>
        <v>SIS</v>
      </c>
      <c r="AF32" s="9" t="str">
        <f t="shared" si="5"/>
        <v>SIS</v>
      </c>
      <c r="AG32" s="9" t="str">
        <f t="shared" si="5"/>
        <v>SIS</v>
      </c>
      <c r="AH32" s="9" t="str">
        <f t="shared" si="5"/>
        <v>SIS</v>
      </c>
      <c r="AI32" s="9" t="str">
        <f t="shared" si="5"/>
        <v>SIS</v>
      </c>
      <c r="AJ32" s="9" t="str">
        <f t="shared" si="5"/>
        <v>SIS</v>
      </c>
      <c r="AK32" s="9" t="str">
        <f t="shared" si="5"/>
        <v>SIS</v>
      </c>
      <c r="AL32" s="9" t="str">
        <f t="shared" si="5"/>
        <v>SIS</v>
      </c>
      <c r="AM32" s="9" t="str">
        <f t="shared" si="5"/>
        <v>SIS</v>
      </c>
      <c r="AN32" s="9"/>
      <c r="AO32" s="9" t="str">
        <f t="shared" ref="AO32:AW32" si="6">+$E$32</f>
        <v>SIS</v>
      </c>
      <c r="AP32" s="9" t="str">
        <f t="shared" si="6"/>
        <v>SIS</v>
      </c>
      <c r="AQ32" s="9" t="str">
        <f t="shared" si="6"/>
        <v>SIS</v>
      </c>
      <c r="AR32" s="9" t="str">
        <f t="shared" si="6"/>
        <v>SIS</v>
      </c>
      <c r="AS32" s="9" t="str">
        <f t="shared" si="6"/>
        <v>SIS</v>
      </c>
      <c r="AT32" s="9" t="str">
        <f t="shared" si="6"/>
        <v>SIS</v>
      </c>
      <c r="AU32" s="9" t="str">
        <f t="shared" si="6"/>
        <v>SIS</v>
      </c>
      <c r="AV32" s="9" t="str">
        <f t="shared" si="6"/>
        <v>SIS</v>
      </c>
      <c r="AW32" s="9" t="str">
        <f t="shared" si="6"/>
        <v>SIS</v>
      </c>
      <c r="AX32" s="9"/>
      <c r="AY32" s="9" t="str">
        <f t="shared" ref="AY32:BG32" si="7">+$E$32</f>
        <v>SIS</v>
      </c>
      <c r="AZ32" s="9" t="str">
        <f t="shared" si="7"/>
        <v>SIS</v>
      </c>
      <c r="BA32" s="9" t="str">
        <f t="shared" si="7"/>
        <v>SIS</v>
      </c>
      <c r="BB32" s="9" t="str">
        <f t="shared" si="7"/>
        <v>SIS</v>
      </c>
      <c r="BC32" s="9" t="str">
        <f t="shared" si="7"/>
        <v>SIS</v>
      </c>
      <c r="BD32" s="9" t="str">
        <f t="shared" si="7"/>
        <v>SIS</v>
      </c>
      <c r="BE32" s="9" t="str">
        <f t="shared" si="7"/>
        <v>SIS</v>
      </c>
      <c r="BF32" s="9" t="str">
        <f t="shared" si="7"/>
        <v>SIS</v>
      </c>
      <c r="BG32" s="9" t="str">
        <f t="shared" si="7"/>
        <v>SIS</v>
      </c>
      <c r="BH32" s="8"/>
    </row>
    <row r="33" spans="2:61" hidden="1" x14ac:dyDescent="0.2">
      <c r="B33" s="8" t="s">
        <v>1</v>
      </c>
      <c r="D33" s="7" t="s">
        <v>57</v>
      </c>
      <c r="F33" s="9" t="s">
        <v>3</v>
      </c>
      <c r="G33" s="9" t="s">
        <v>3</v>
      </c>
      <c r="H33" s="9" t="s">
        <v>3</v>
      </c>
      <c r="I33" s="9" t="s">
        <v>4</v>
      </c>
      <c r="J33" s="9"/>
      <c r="K33" s="9" t="s">
        <v>4</v>
      </c>
      <c r="L33" s="9" t="s">
        <v>4</v>
      </c>
      <c r="M33" s="9" t="s">
        <v>4</v>
      </c>
      <c r="N33" s="9" t="s">
        <v>4</v>
      </c>
      <c r="O33" s="9" t="s">
        <v>4</v>
      </c>
      <c r="P33" s="9" t="s">
        <v>4</v>
      </c>
      <c r="Q33" s="9" t="s">
        <v>4</v>
      </c>
      <c r="R33" s="9" t="s">
        <v>4</v>
      </c>
      <c r="S33" s="9" t="s">
        <v>4</v>
      </c>
      <c r="T33" s="9"/>
      <c r="U33" s="9" t="s">
        <v>4</v>
      </c>
      <c r="V33" s="9" t="s">
        <v>4</v>
      </c>
      <c r="W33" s="9" t="s">
        <v>4</v>
      </c>
      <c r="X33" s="9" t="s">
        <v>4</v>
      </c>
      <c r="Y33" s="9" t="s">
        <v>4</v>
      </c>
      <c r="Z33" s="9" t="s">
        <v>4</v>
      </c>
      <c r="AA33" s="9" t="s">
        <v>4</v>
      </c>
      <c r="AB33" s="9" t="s">
        <v>4</v>
      </c>
      <c r="AC33" s="9" t="s">
        <v>4</v>
      </c>
      <c r="AD33" s="9"/>
      <c r="AE33" s="9" t="s">
        <v>4</v>
      </c>
      <c r="AF33" s="9" t="s">
        <v>4</v>
      </c>
      <c r="AG33" s="9" t="s">
        <v>4</v>
      </c>
      <c r="AH33" s="9" t="s">
        <v>4</v>
      </c>
      <c r="AI33" s="9" t="s">
        <v>4</v>
      </c>
      <c r="AJ33" s="9" t="s">
        <v>4</v>
      </c>
      <c r="AK33" s="9" t="s">
        <v>4</v>
      </c>
      <c r="AL33" s="9" t="s">
        <v>4</v>
      </c>
      <c r="AM33" s="9" t="s">
        <v>4</v>
      </c>
      <c r="AN33" s="9"/>
      <c r="AO33" s="9" t="s">
        <v>4</v>
      </c>
      <c r="AP33" s="9" t="s">
        <v>4</v>
      </c>
      <c r="AQ33" s="9" t="s">
        <v>4</v>
      </c>
      <c r="AR33" s="9" t="s">
        <v>4</v>
      </c>
      <c r="AS33" s="9" t="s">
        <v>4</v>
      </c>
      <c r="AT33" s="9" t="s">
        <v>4</v>
      </c>
      <c r="AU33" s="9" t="s">
        <v>4</v>
      </c>
      <c r="AV33" s="9" t="s">
        <v>4</v>
      </c>
      <c r="AW33" s="9" t="s">
        <v>4</v>
      </c>
      <c r="AX33" s="9"/>
      <c r="AY33" s="9" t="s">
        <v>4</v>
      </c>
      <c r="AZ33" s="9" t="s">
        <v>4</v>
      </c>
      <c r="BA33" s="9" t="s">
        <v>4</v>
      </c>
      <c r="BB33" s="9" t="s">
        <v>4</v>
      </c>
      <c r="BC33" s="9" t="s">
        <v>4</v>
      </c>
      <c r="BD33" s="9" t="s">
        <v>4</v>
      </c>
      <c r="BE33" s="9" t="s">
        <v>4</v>
      </c>
      <c r="BF33" s="9" t="s">
        <v>4</v>
      </c>
      <c r="BG33" s="9" t="s">
        <v>4</v>
      </c>
      <c r="BH33" s="8"/>
    </row>
    <row r="34" spans="2:61" hidden="1" x14ac:dyDescent="0.2">
      <c r="B34" s="8" t="s">
        <v>1</v>
      </c>
      <c r="D34" s="7" t="s">
        <v>57</v>
      </c>
      <c r="E34" s="8"/>
      <c r="F34" s="9" t="s">
        <v>6</v>
      </c>
      <c r="G34" s="9" t="s">
        <v>6</v>
      </c>
      <c r="H34" s="9" t="s">
        <v>6</v>
      </c>
      <c r="I34" s="9" t="s">
        <v>6</v>
      </c>
      <c r="J34" s="9"/>
      <c r="K34" s="9" t="s">
        <v>7</v>
      </c>
      <c r="L34" s="9" t="s">
        <v>7</v>
      </c>
      <c r="M34" s="9" t="s">
        <v>7</v>
      </c>
      <c r="N34" s="9" t="s">
        <v>7</v>
      </c>
      <c r="O34" s="9" t="s">
        <v>7</v>
      </c>
      <c r="P34" s="9" t="s">
        <v>7</v>
      </c>
      <c r="Q34" s="9" t="s">
        <v>7</v>
      </c>
      <c r="R34" s="9" t="s">
        <v>7</v>
      </c>
      <c r="S34" s="9" t="s">
        <v>7</v>
      </c>
      <c r="T34" s="9"/>
      <c r="U34" s="9" t="s">
        <v>8</v>
      </c>
      <c r="V34" s="9" t="s">
        <v>8</v>
      </c>
      <c r="W34" s="9" t="s">
        <v>8</v>
      </c>
      <c r="X34" s="9" t="s">
        <v>8</v>
      </c>
      <c r="Y34" s="9" t="s">
        <v>8</v>
      </c>
      <c r="Z34" s="9" t="s">
        <v>8</v>
      </c>
      <c r="AA34" s="9" t="s">
        <v>8</v>
      </c>
      <c r="AB34" s="9" t="s">
        <v>8</v>
      </c>
      <c r="AC34" s="9" t="s">
        <v>8</v>
      </c>
      <c r="AD34" s="9"/>
      <c r="AE34" s="9" t="s">
        <v>9</v>
      </c>
      <c r="AF34" s="9" t="s">
        <v>9</v>
      </c>
      <c r="AG34" s="9" t="s">
        <v>9</v>
      </c>
      <c r="AH34" s="9" t="s">
        <v>9</v>
      </c>
      <c r="AI34" s="9" t="s">
        <v>9</v>
      </c>
      <c r="AJ34" s="9" t="s">
        <v>9</v>
      </c>
      <c r="AK34" s="9" t="s">
        <v>9</v>
      </c>
      <c r="AL34" s="9" t="s">
        <v>9</v>
      </c>
      <c r="AM34" s="9" t="s">
        <v>9</v>
      </c>
      <c r="AN34" s="9"/>
      <c r="AO34" s="9" t="s">
        <v>10</v>
      </c>
      <c r="AP34" s="9" t="s">
        <v>10</v>
      </c>
      <c r="AQ34" s="9" t="s">
        <v>10</v>
      </c>
      <c r="AR34" s="9" t="s">
        <v>10</v>
      </c>
      <c r="AS34" s="9" t="s">
        <v>10</v>
      </c>
      <c r="AT34" s="9" t="s">
        <v>10</v>
      </c>
      <c r="AU34" s="9" t="s">
        <v>10</v>
      </c>
      <c r="AV34" s="9" t="s">
        <v>10</v>
      </c>
      <c r="AW34" s="9" t="s">
        <v>10</v>
      </c>
      <c r="AX34" s="9"/>
      <c r="AY34" s="9" t="s">
        <v>11</v>
      </c>
      <c r="AZ34" s="9" t="s">
        <v>11</v>
      </c>
      <c r="BA34" s="9" t="s">
        <v>11</v>
      </c>
      <c r="BB34" s="9" t="s">
        <v>11</v>
      </c>
      <c r="BC34" s="9" t="s">
        <v>11</v>
      </c>
      <c r="BD34" s="9" t="s">
        <v>11</v>
      </c>
      <c r="BE34" s="9" t="s">
        <v>11</v>
      </c>
      <c r="BF34" s="9" t="s">
        <v>11</v>
      </c>
      <c r="BG34" s="9" t="s">
        <v>11</v>
      </c>
      <c r="BH34" s="8"/>
    </row>
    <row r="35" spans="2:61" hidden="1" x14ac:dyDescent="0.2">
      <c r="B35" s="8" t="s">
        <v>1</v>
      </c>
      <c r="D35" s="7" t="s">
        <v>57</v>
      </c>
      <c r="E35" s="8"/>
      <c r="F35" s="9" t="s">
        <v>13</v>
      </c>
      <c r="G35" s="9" t="s">
        <v>14</v>
      </c>
      <c r="H35" s="9" t="s">
        <v>15</v>
      </c>
      <c r="I35" s="9" t="s">
        <v>16</v>
      </c>
      <c r="J35" s="9"/>
      <c r="K35" s="9" t="s">
        <v>17</v>
      </c>
      <c r="L35" s="9" t="s">
        <v>18</v>
      </c>
      <c r="M35" s="9" t="s">
        <v>19</v>
      </c>
      <c r="N35" s="9" t="s">
        <v>20</v>
      </c>
      <c r="O35" s="9" t="s">
        <v>21</v>
      </c>
      <c r="P35" s="9" t="s">
        <v>22</v>
      </c>
      <c r="Q35" s="9" t="s">
        <v>23</v>
      </c>
      <c r="R35" s="9" t="s">
        <v>24</v>
      </c>
      <c r="S35" s="9" t="s">
        <v>25</v>
      </c>
      <c r="T35" s="9"/>
      <c r="U35" s="9" t="s">
        <v>17</v>
      </c>
      <c r="V35" s="9" t="s">
        <v>18</v>
      </c>
      <c r="W35" s="9" t="s">
        <v>19</v>
      </c>
      <c r="X35" s="9" t="s">
        <v>20</v>
      </c>
      <c r="Y35" s="9" t="s">
        <v>21</v>
      </c>
      <c r="Z35" s="9" t="s">
        <v>22</v>
      </c>
      <c r="AA35" s="9" t="s">
        <v>23</v>
      </c>
      <c r="AB35" s="9" t="s">
        <v>24</v>
      </c>
      <c r="AC35" s="9" t="s">
        <v>25</v>
      </c>
      <c r="AD35" s="9"/>
      <c r="AE35" s="9" t="s">
        <v>17</v>
      </c>
      <c r="AF35" s="9" t="s">
        <v>18</v>
      </c>
      <c r="AG35" s="9" t="s">
        <v>19</v>
      </c>
      <c r="AH35" s="9" t="s">
        <v>20</v>
      </c>
      <c r="AI35" s="9" t="s">
        <v>21</v>
      </c>
      <c r="AJ35" s="9" t="s">
        <v>22</v>
      </c>
      <c r="AK35" s="9" t="s">
        <v>23</v>
      </c>
      <c r="AL35" s="9" t="s">
        <v>24</v>
      </c>
      <c r="AM35" s="9" t="s">
        <v>25</v>
      </c>
      <c r="AN35" s="9"/>
      <c r="AO35" s="9" t="s">
        <v>17</v>
      </c>
      <c r="AP35" s="9" t="s">
        <v>18</v>
      </c>
      <c r="AQ35" s="9" t="s">
        <v>19</v>
      </c>
      <c r="AR35" s="9" t="s">
        <v>20</v>
      </c>
      <c r="AS35" s="9" t="s">
        <v>21</v>
      </c>
      <c r="AT35" s="9" t="s">
        <v>22</v>
      </c>
      <c r="AU35" s="9" t="s">
        <v>23</v>
      </c>
      <c r="AV35" s="9" t="s">
        <v>24</v>
      </c>
      <c r="AW35" s="9" t="s">
        <v>25</v>
      </c>
      <c r="AX35" s="9"/>
      <c r="AY35" s="9" t="s">
        <v>17</v>
      </c>
      <c r="AZ35" s="9" t="s">
        <v>18</v>
      </c>
      <c r="BA35" s="9" t="s">
        <v>19</v>
      </c>
      <c r="BB35" s="9" t="s">
        <v>20</v>
      </c>
      <c r="BC35" s="9" t="s">
        <v>21</v>
      </c>
      <c r="BD35" s="9" t="s">
        <v>22</v>
      </c>
      <c r="BE35" s="9" t="s">
        <v>23</v>
      </c>
      <c r="BF35" s="9" t="s">
        <v>24</v>
      </c>
      <c r="BG35" s="9" t="s">
        <v>25</v>
      </c>
      <c r="BH35" s="8"/>
    </row>
    <row r="36" spans="2:61" hidden="1" x14ac:dyDescent="0.2">
      <c r="B36" s="8" t="s">
        <v>1</v>
      </c>
      <c r="D36" s="7" t="s">
        <v>57</v>
      </c>
      <c r="E36" s="8"/>
      <c r="F36" s="9" t="s">
        <v>26</v>
      </c>
      <c r="G36" s="9" t="s">
        <v>26</v>
      </c>
      <c r="H36" s="9" t="s">
        <v>26</v>
      </c>
      <c r="I36" s="9" t="s">
        <v>27</v>
      </c>
      <c r="J36" s="9"/>
      <c r="K36" s="9" t="s">
        <v>28</v>
      </c>
      <c r="L36" s="9" t="s">
        <v>29</v>
      </c>
      <c r="M36" s="9" t="s">
        <v>30</v>
      </c>
      <c r="N36" s="9" t="s">
        <v>31</v>
      </c>
      <c r="O36" s="9" t="s">
        <v>32</v>
      </c>
      <c r="P36" s="9" t="s">
        <v>33</v>
      </c>
      <c r="Q36" s="9" t="s">
        <v>34</v>
      </c>
      <c r="R36" s="9" t="s">
        <v>35</v>
      </c>
      <c r="S36" s="9" t="s">
        <v>36</v>
      </c>
      <c r="T36" s="9"/>
      <c r="U36" s="9" t="s">
        <v>28</v>
      </c>
      <c r="V36" s="9" t="s">
        <v>29</v>
      </c>
      <c r="W36" s="9" t="s">
        <v>30</v>
      </c>
      <c r="X36" s="9" t="s">
        <v>31</v>
      </c>
      <c r="Y36" s="9" t="s">
        <v>32</v>
      </c>
      <c r="Z36" s="9" t="s">
        <v>33</v>
      </c>
      <c r="AA36" s="9" t="s">
        <v>34</v>
      </c>
      <c r="AB36" s="9" t="s">
        <v>35</v>
      </c>
      <c r="AC36" s="9" t="s">
        <v>36</v>
      </c>
      <c r="AD36" s="9"/>
      <c r="AE36" s="9" t="s">
        <v>28</v>
      </c>
      <c r="AF36" s="9" t="s">
        <v>29</v>
      </c>
      <c r="AG36" s="9" t="s">
        <v>30</v>
      </c>
      <c r="AH36" s="9" t="s">
        <v>31</v>
      </c>
      <c r="AI36" s="9" t="s">
        <v>32</v>
      </c>
      <c r="AJ36" s="9" t="s">
        <v>33</v>
      </c>
      <c r="AK36" s="9" t="s">
        <v>34</v>
      </c>
      <c r="AL36" s="9" t="s">
        <v>35</v>
      </c>
      <c r="AM36" s="9" t="s">
        <v>36</v>
      </c>
      <c r="AN36" s="9"/>
      <c r="AO36" s="9" t="s">
        <v>28</v>
      </c>
      <c r="AP36" s="9" t="s">
        <v>29</v>
      </c>
      <c r="AQ36" s="9" t="s">
        <v>30</v>
      </c>
      <c r="AR36" s="9" t="s">
        <v>31</v>
      </c>
      <c r="AS36" s="9" t="s">
        <v>32</v>
      </c>
      <c r="AT36" s="9" t="s">
        <v>33</v>
      </c>
      <c r="AU36" s="9" t="s">
        <v>34</v>
      </c>
      <c r="AV36" s="9" t="s">
        <v>35</v>
      </c>
      <c r="AW36" s="9" t="s">
        <v>36</v>
      </c>
      <c r="AX36" s="9"/>
      <c r="AY36" s="9" t="s">
        <v>28</v>
      </c>
      <c r="AZ36" s="9" t="s">
        <v>29</v>
      </c>
      <c r="BA36" s="9" t="s">
        <v>30</v>
      </c>
      <c r="BB36" s="9" t="s">
        <v>31</v>
      </c>
      <c r="BC36" s="9" t="s">
        <v>32</v>
      </c>
      <c r="BD36" s="9" t="s">
        <v>33</v>
      </c>
      <c r="BE36" s="9" t="s">
        <v>34</v>
      </c>
      <c r="BF36" s="9" t="s">
        <v>35</v>
      </c>
      <c r="BG36" s="9" t="s">
        <v>36</v>
      </c>
      <c r="BH36" s="8"/>
    </row>
    <row r="37" spans="2:61" hidden="1" x14ac:dyDescent="0.2">
      <c r="B37" s="8" t="s">
        <v>1</v>
      </c>
      <c r="D37" s="31" t="s">
        <v>57</v>
      </c>
      <c r="E37" s="40"/>
      <c r="F37" s="38"/>
      <c r="G37" s="38"/>
      <c r="H37" s="38"/>
      <c r="I37" s="38"/>
      <c r="K37" s="38"/>
      <c r="L37" s="38"/>
      <c r="M37" s="38"/>
      <c r="N37" s="38"/>
      <c r="O37" s="38"/>
      <c r="P37" s="38"/>
      <c r="Q37" s="38"/>
      <c r="R37" s="38"/>
      <c r="S37" s="38"/>
      <c r="U37" s="38"/>
      <c r="V37" s="38"/>
      <c r="W37" s="38"/>
      <c r="X37" s="38"/>
      <c r="Y37" s="38"/>
      <c r="Z37" s="38"/>
      <c r="AA37" s="38"/>
      <c r="AB37" s="38"/>
      <c r="AC37" s="38"/>
      <c r="AE37" s="38"/>
      <c r="AF37" s="38"/>
      <c r="AG37" s="38"/>
      <c r="AH37" s="38"/>
      <c r="AI37" s="38"/>
      <c r="AJ37" s="38"/>
      <c r="AK37" s="38"/>
      <c r="AL37" s="38"/>
      <c r="AM37" s="38"/>
      <c r="AO37" s="38"/>
      <c r="AP37" s="38"/>
      <c r="AQ37" s="38"/>
      <c r="AR37" s="38"/>
      <c r="AS37" s="38"/>
      <c r="AT37" s="38"/>
      <c r="AU37" s="38"/>
      <c r="AV37" s="38"/>
      <c r="AW37" s="38"/>
      <c r="AY37" s="38"/>
      <c r="AZ37" s="38"/>
      <c r="BA37" s="38"/>
      <c r="BB37" s="38"/>
      <c r="BC37" s="38"/>
      <c r="BD37" s="38"/>
      <c r="BE37" s="38"/>
      <c r="BF37" s="38"/>
      <c r="BG37" s="38"/>
    </row>
    <row r="38" spans="2:61" x14ac:dyDescent="0.2">
      <c r="B38" s="8"/>
      <c r="D38" s="31" t="s">
        <v>57</v>
      </c>
      <c r="E38" s="35" t="s">
        <v>112</v>
      </c>
      <c r="F38" s="38"/>
      <c r="G38" s="38"/>
      <c r="H38" s="38"/>
      <c r="I38" s="38"/>
      <c r="K38" s="38"/>
      <c r="L38" s="38"/>
      <c r="M38" s="38"/>
      <c r="N38" s="38"/>
      <c r="O38" s="38"/>
      <c r="P38" s="38"/>
      <c r="Q38" s="38"/>
      <c r="R38" s="38"/>
      <c r="S38" s="38"/>
      <c r="U38" s="38"/>
      <c r="V38" s="38"/>
      <c r="W38" s="38"/>
      <c r="X38" s="38"/>
      <c r="Y38" s="38"/>
      <c r="Z38" s="38"/>
      <c r="AA38" s="38"/>
      <c r="AB38" s="38"/>
      <c r="AC38" s="38"/>
      <c r="AE38" s="38"/>
      <c r="AF38" s="38"/>
      <c r="AG38" s="38"/>
      <c r="AH38" s="38"/>
      <c r="AI38" s="38"/>
      <c r="AJ38" s="38"/>
      <c r="AK38" s="38"/>
      <c r="AL38" s="38"/>
      <c r="AM38" s="38"/>
      <c r="AO38" s="38"/>
      <c r="AP38" s="38"/>
      <c r="AQ38" s="38"/>
      <c r="AR38" s="38"/>
      <c r="AS38" s="38"/>
      <c r="AT38" s="38"/>
      <c r="AU38" s="38"/>
      <c r="AV38" s="38"/>
      <c r="AW38" s="38"/>
      <c r="AY38" s="38"/>
      <c r="AZ38" s="38"/>
      <c r="BA38" s="38"/>
      <c r="BB38" s="38"/>
      <c r="BC38" s="38"/>
      <c r="BD38" s="38"/>
      <c r="BE38" s="38"/>
      <c r="BF38" s="38"/>
      <c r="BG38" s="38"/>
    </row>
    <row r="39" spans="2:61" x14ac:dyDescent="0.2">
      <c r="B39" s="8" t="s">
        <v>113</v>
      </c>
      <c r="C39" s="5" t="s">
        <v>114</v>
      </c>
      <c r="D39" s="39" t="s">
        <v>115</v>
      </c>
      <c r="E39" s="49" t="s">
        <v>116</v>
      </c>
      <c r="F39" s="41"/>
      <c r="G39" s="42"/>
      <c r="H39" s="42"/>
      <c r="I39" s="42"/>
      <c r="J39" s="38"/>
      <c r="K39" s="42"/>
      <c r="L39" s="42"/>
      <c r="M39" s="42">
        <v>290</v>
      </c>
      <c r="N39" s="42">
        <v>340</v>
      </c>
      <c r="O39" s="42">
        <v>340</v>
      </c>
      <c r="P39" s="42">
        <v>340</v>
      </c>
      <c r="Q39" s="42">
        <v>340</v>
      </c>
      <c r="R39" s="42">
        <v>340</v>
      </c>
      <c r="S39" s="42">
        <v>340</v>
      </c>
      <c r="T39" s="38"/>
      <c r="U39" s="42"/>
      <c r="V39" s="42"/>
      <c r="W39" s="42">
        <v>290</v>
      </c>
      <c r="X39" s="42">
        <v>340</v>
      </c>
      <c r="Y39" s="42">
        <v>340</v>
      </c>
      <c r="Z39" s="42">
        <v>340</v>
      </c>
      <c r="AA39" s="42">
        <v>340</v>
      </c>
      <c r="AB39" s="42">
        <v>340</v>
      </c>
      <c r="AC39" s="42">
        <v>340</v>
      </c>
      <c r="AD39" s="38"/>
      <c r="AE39" s="42"/>
      <c r="AF39" s="42"/>
      <c r="AG39" s="42">
        <v>290</v>
      </c>
      <c r="AH39" s="42">
        <v>340</v>
      </c>
      <c r="AI39" s="42">
        <v>340</v>
      </c>
      <c r="AJ39" s="42">
        <v>340</v>
      </c>
      <c r="AK39" s="42">
        <v>340</v>
      </c>
      <c r="AL39" s="42">
        <v>340</v>
      </c>
      <c r="AM39" s="42">
        <v>340</v>
      </c>
      <c r="AN39" s="38"/>
      <c r="AO39" s="42"/>
      <c r="AP39" s="42"/>
      <c r="AQ39" s="42">
        <v>290</v>
      </c>
      <c r="AR39" s="42">
        <v>340</v>
      </c>
      <c r="AS39" s="42">
        <v>340</v>
      </c>
      <c r="AT39" s="42">
        <v>340</v>
      </c>
      <c r="AU39" s="42">
        <v>340</v>
      </c>
      <c r="AV39" s="42">
        <v>340</v>
      </c>
      <c r="AW39" s="42">
        <v>340</v>
      </c>
      <c r="AX39" s="38"/>
      <c r="AY39" s="42"/>
      <c r="AZ39" s="42"/>
      <c r="BA39" s="42">
        <v>290</v>
      </c>
      <c r="BB39" s="42">
        <v>340</v>
      </c>
      <c r="BC39" s="42">
        <v>340</v>
      </c>
      <c r="BD39" s="42">
        <v>340</v>
      </c>
      <c r="BE39" s="42">
        <v>340</v>
      </c>
      <c r="BF39" s="42">
        <v>340</v>
      </c>
      <c r="BG39" s="42">
        <v>340</v>
      </c>
      <c r="BI39" s="10" t="s">
        <v>117</v>
      </c>
    </row>
    <row r="40" spans="2:61" x14ac:dyDescent="0.2">
      <c r="B40" s="8" t="s">
        <v>118</v>
      </c>
      <c r="C40" s="5" t="s">
        <v>119</v>
      </c>
      <c r="D40" s="39" t="s">
        <v>120</v>
      </c>
      <c r="E40" s="49" t="s">
        <v>121</v>
      </c>
      <c r="F40" s="41"/>
      <c r="G40" s="42"/>
      <c r="H40" s="42"/>
      <c r="I40" s="42"/>
      <c r="K40" s="42"/>
      <c r="L40" s="42"/>
      <c r="M40" s="42">
        <v>-116.602</v>
      </c>
      <c r="N40" s="42">
        <v>-113.22199999999999</v>
      </c>
      <c r="O40" s="42">
        <v>-104.684</v>
      </c>
      <c r="P40" s="42">
        <v>-99.974999999999994</v>
      </c>
      <c r="Q40" s="42">
        <v>-97.570999999999998</v>
      </c>
      <c r="R40" s="42">
        <v>-90.742999999999995</v>
      </c>
      <c r="S40" s="42">
        <v>-80.760999999999996</v>
      </c>
      <c r="U40" s="42"/>
      <c r="V40" s="42"/>
      <c r="W40" s="42">
        <v>-130.55500000000001</v>
      </c>
      <c r="X40" s="42">
        <v>-136.41200000000001</v>
      </c>
      <c r="Y40" s="42">
        <v>-139.57400000000001</v>
      </c>
      <c r="Z40" s="42">
        <v>-144.298</v>
      </c>
      <c r="AA40" s="42">
        <v>-150.02600000000001</v>
      </c>
      <c r="AB40" s="42">
        <v>-152.57900000000001</v>
      </c>
      <c r="AC40" s="42">
        <v>-153.88499999999999</v>
      </c>
      <c r="AE40" s="42"/>
      <c r="AF40" s="42"/>
      <c r="AG40" s="42">
        <v>-116.602</v>
      </c>
      <c r="AH40" s="42">
        <v>-113.22199999999999</v>
      </c>
      <c r="AI40" s="42">
        <v>-104.684</v>
      </c>
      <c r="AJ40" s="42">
        <v>-99.974999999999994</v>
      </c>
      <c r="AK40" s="42">
        <v>-97.570999999999998</v>
      </c>
      <c r="AL40" s="42">
        <v>-90.742999999999995</v>
      </c>
      <c r="AM40" s="42">
        <v>-80.760999999999996</v>
      </c>
      <c r="AO40" s="42"/>
      <c r="AP40" s="42"/>
      <c r="AQ40" s="42">
        <v>-119.246</v>
      </c>
      <c r="AR40" s="42">
        <v>-118.21899999999999</v>
      </c>
      <c r="AS40" s="42">
        <v>-114.83</v>
      </c>
      <c r="AT40" s="42">
        <v>-114.616</v>
      </c>
      <c r="AU40" s="42">
        <v>-116.42400000000001</v>
      </c>
      <c r="AV40" s="42">
        <v>-114.449</v>
      </c>
      <c r="AW40" s="42">
        <v>-110.018</v>
      </c>
      <c r="AY40" s="42"/>
      <c r="AZ40" s="42"/>
      <c r="BA40" s="42">
        <v>-130.63800000000001</v>
      </c>
      <c r="BB40" s="42">
        <v>-135.291</v>
      </c>
      <c r="BC40" s="42">
        <v>-137.51300000000001</v>
      </c>
      <c r="BD40" s="42">
        <v>-141.625</v>
      </c>
      <c r="BE40" s="42">
        <v>-147.72900000000001</v>
      </c>
      <c r="BF40" s="42">
        <v>-150.39599999999999</v>
      </c>
      <c r="BG40" s="42">
        <v>-150.88300000000001</v>
      </c>
      <c r="BI40" s="10" t="s">
        <v>117</v>
      </c>
    </row>
    <row r="41" spans="2:61" x14ac:dyDescent="0.2">
      <c r="B41" s="8" t="s">
        <v>122</v>
      </c>
      <c r="C41" s="5" t="s">
        <v>123</v>
      </c>
      <c r="D41" s="39" t="s">
        <v>124</v>
      </c>
      <c r="E41" s="49" t="s">
        <v>125</v>
      </c>
      <c r="F41" s="41"/>
      <c r="G41" s="42"/>
      <c r="H41" s="42"/>
      <c r="I41" s="42"/>
      <c r="K41" s="42"/>
      <c r="L41" s="42"/>
      <c r="M41" s="42"/>
      <c r="N41" s="42"/>
      <c r="O41" s="42"/>
      <c r="P41" s="42"/>
      <c r="Q41" s="42"/>
      <c r="R41" s="42"/>
      <c r="S41" s="42"/>
      <c r="U41" s="42"/>
      <c r="V41" s="42"/>
      <c r="W41" s="42"/>
      <c r="X41" s="42"/>
      <c r="Y41" s="42"/>
      <c r="Z41" s="42"/>
      <c r="AA41" s="42"/>
      <c r="AB41" s="42"/>
      <c r="AC41" s="42"/>
      <c r="AE41" s="42"/>
      <c r="AF41" s="42"/>
      <c r="AG41" s="42"/>
      <c r="AH41" s="42"/>
      <c r="AI41" s="42"/>
      <c r="AJ41" s="42"/>
      <c r="AK41" s="42"/>
      <c r="AL41" s="42"/>
      <c r="AM41" s="42"/>
      <c r="AO41" s="42"/>
      <c r="AP41" s="42"/>
      <c r="AQ41" s="42"/>
      <c r="AR41" s="42"/>
      <c r="AS41" s="42"/>
      <c r="AT41" s="42"/>
      <c r="AU41" s="42"/>
      <c r="AV41" s="42"/>
      <c r="AW41" s="42"/>
      <c r="AY41" s="42"/>
      <c r="AZ41" s="42"/>
      <c r="BA41" s="42"/>
      <c r="BB41" s="42"/>
      <c r="BC41" s="42"/>
      <c r="BD41" s="42"/>
      <c r="BE41" s="42"/>
      <c r="BF41" s="42"/>
      <c r="BG41" s="42"/>
      <c r="BI41" s="10" t="s">
        <v>117</v>
      </c>
    </row>
    <row r="42" spans="2:61" x14ac:dyDescent="0.2">
      <c r="B42" s="8" t="s">
        <v>126</v>
      </c>
      <c r="C42" s="5" t="s">
        <v>127</v>
      </c>
      <c r="D42" s="39" t="s">
        <v>128</v>
      </c>
      <c r="E42" s="49" t="s">
        <v>129</v>
      </c>
      <c r="F42" s="41"/>
      <c r="G42" s="42"/>
      <c r="H42" s="42"/>
      <c r="I42" s="42"/>
      <c r="K42" s="42"/>
      <c r="L42" s="42"/>
      <c r="M42" s="42"/>
      <c r="N42" s="42"/>
      <c r="O42" s="42"/>
      <c r="P42" s="42"/>
      <c r="Q42" s="42"/>
      <c r="R42" s="42"/>
      <c r="S42" s="42"/>
      <c r="U42" s="42"/>
      <c r="V42" s="42"/>
      <c r="W42" s="42"/>
      <c r="X42" s="42"/>
      <c r="Y42" s="42"/>
      <c r="Z42" s="42"/>
      <c r="AA42" s="42"/>
      <c r="AB42" s="42"/>
      <c r="AC42" s="42"/>
      <c r="AE42" s="42"/>
      <c r="AF42" s="42"/>
      <c r="AG42" s="42"/>
      <c r="AH42" s="42"/>
      <c r="AI42" s="42"/>
      <c r="AJ42" s="42"/>
      <c r="AK42" s="42"/>
      <c r="AL42" s="42"/>
      <c r="AM42" s="42"/>
      <c r="AO42" s="42"/>
      <c r="AP42" s="42"/>
      <c r="AQ42" s="42"/>
      <c r="AR42" s="42"/>
      <c r="AS42" s="42"/>
      <c r="AT42" s="42"/>
      <c r="AU42" s="42"/>
      <c r="AV42" s="42"/>
      <c r="AW42" s="42"/>
      <c r="AY42" s="42"/>
      <c r="AZ42" s="42"/>
      <c r="BA42" s="42"/>
      <c r="BB42" s="42"/>
      <c r="BC42" s="42"/>
      <c r="BD42" s="42"/>
      <c r="BE42" s="42"/>
      <c r="BF42" s="42"/>
      <c r="BG42" s="42"/>
      <c r="BI42" s="10" t="s">
        <v>117</v>
      </c>
    </row>
    <row r="43" spans="2:61" x14ac:dyDescent="0.2">
      <c r="B43" s="8" t="s">
        <v>130</v>
      </c>
      <c r="C43" s="5" t="s">
        <v>131</v>
      </c>
      <c r="D43" s="39" t="s">
        <v>132</v>
      </c>
      <c r="E43" s="49" t="s">
        <v>133</v>
      </c>
      <c r="F43" s="41">
        <v>0</v>
      </c>
      <c r="G43" s="42">
        <v>0</v>
      </c>
      <c r="H43" s="42">
        <v>0</v>
      </c>
      <c r="I43" s="42">
        <v>0</v>
      </c>
      <c r="K43" s="42">
        <v>0</v>
      </c>
      <c r="L43" s="42">
        <v>0</v>
      </c>
      <c r="M43" s="42">
        <v>173.398</v>
      </c>
      <c r="N43" s="42">
        <v>226.77799999999999</v>
      </c>
      <c r="O43" s="42">
        <v>235.316</v>
      </c>
      <c r="P43" s="42">
        <v>240.02500000000001</v>
      </c>
      <c r="Q43" s="42">
        <v>242.429</v>
      </c>
      <c r="R43" s="42">
        <v>249.25700000000001</v>
      </c>
      <c r="S43" s="42">
        <v>259.23899999999998</v>
      </c>
      <c r="U43" s="42">
        <v>0</v>
      </c>
      <c r="V43" s="42">
        <v>0</v>
      </c>
      <c r="W43" s="42">
        <v>159.44499999999999</v>
      </c>
      <c r="X43" s="42">
        <v>203.58799999999999</v>
      </c>
      <c r="Y43" s="42">
        <v>200.42599999999999</v>
      </c>
      <c r="Z43" s="42">
        <v>195.702</v>
      </c>
      <c r="AA43" s="42">
        <v>189.97399999999999</v>
      </c>
      <c r="AB43" s="42">
        <v>187.42099999999999</v>
      </c>
      <c r="AC43" s="42">
        <v>186.11500000000001</v>
      </c>
      <c r="AE43" s="42">
        <v>0</v>
      </c>
      <c r="AF43" s="42">
        <v>0</v>
      </c>
      <c r="AG43" s="42">
        <v>173.398</v>
      </c>
      <c r="AH43" s="42">
        <v>226.77799999999999</v>
      </c>
      <c r="AI43" s="42">
        <v>235.316</v>
      </c>
      <c r="AJ43" s="42">
        <v>240.02500000000001</v>
      </c>
      <c r="AK43" s="42">
        <v>242.429</v>
      </c>
      <c r="AL43" s="42">
        <v>249.25700000000001</v>
      </c>
      <c r="AM43" s="42">
        <v>259.23899999999998</v>
      </c>
      <c r="AO43" s="42">
        <v>0</v>
      </c>
      <c r="AP43" s="42">
        <v>0</v>
      </c>
      <c r="AQ43" s="42">
        <v>170.75399999999999</v>
      </c>
      <c r="AR43" s="42">
        <v>221.78100000000001</v>
      </c>
      <c r="AS43" s="42">
        <v>225.17</v>
      </c>
      <c r="AT43" s="42">
        <v>225.38399999999999</v>
      </c>
      <c r="AU43" s="42">
        <v>223.57599999999999</v>
      </c>
      <c r="AV43" s="42">
        <v>225.55099999999999</v>
      </c>
      <c r="AW43" s="42">
        <v>229.982</v>
      </c>
      <c r="AY43" s="42">
        <v>0</v>
      </c>
      <c r="AZ43" s="42">
        <v>0</v>
      </c>
      <c r="BA43" s="42">
        <v>159.36199999999999</v>
      </c>
      <c r="BB43" s="42">
        <v>204.709</v>
      </c>
      <c r="BC43" s="42">
        <v>202.48699999999999</v>
      </c>
      <c r="BD43" s="42">
        <v>198.375</v>
      </c>
      <c r="BE43" s="42">
        <v>192.27099999999999</v>
      </c>
      <c r="BF43" s="42">
        <v>189.60400000000001</v>
      </c>
      <c r="BG43" s="42">
        <v>189.11699999999999</v>
      </c>
      <c r="BI43" s="10" t="s">
        <v>117</v>
      </c>
    </row>
    <row r="44" spans="2:61" x14ac:dyDescent="0.2">
      <c r="B44" s="8"/>
      <c r="D44" s="31" t="s">
        <v>57</v>
      </c>
      <c r="E44" s="40"/>
      <c r="F44" s="50"/>
      <c r="G44" s="50"/>
      <c r="H44" s="50"/>
      <c r="I44" s="50"/>
      <c r="K44" s="50"/>
      <c r="L44" s="50"/>
      <c r="M44" s="50"/>
      <c r="N44" s="50"/>
      <c r="O44" s="50"/>
      <c r="P44" s="50"/>
      <c r="Q44" s="50"/>
      <c r="R44" s="50"/>
      <c r="S44" s="50"/>
      <c r="U44" s="50"/>
      <c r="V44" s="50"/>
      <c r="W44" s="50"/>
      <c r="X44" s="50"/>
      <c r="Y44" s="50"/>
      <c r="Z44" s="50"/>
      <c r="AA44" s="50"/>
      <c r="AB44" s="50"/>
      <c r="AC44" s="50"/>
      <c r="AE44" s="50"/>
      <c r="AF44" s="50"/>
      <c r="AG44" s="50"/>
      <c r="AH44" s="50"/>
      <c r="AI44" s="50"/>
      <c r="AJ44" s="50"/>
      <c r="AK44" s="50"/>
      <c r="AL44" s="50"/>
      <c r="AM44" s="50"/>
      <c r="AO44" s="50"/>
      <c r="AP44" s="50"/>
      <c r="AQ44" s="50"/>
      <c r="AR44" s="50"/>
      <c r="AS44" s="50"/>
      <c r="AT44" s="50"/>
      <c r="AU44" s="50"/>
      <c r="AV44" s="50"/>
      <c r="AW44" s="50"/>
      <c r="AY44" s="50"/>
      <c r="AZ44" s="50"/>
      <c r="BA44" s="50"/>
      <c r="BB44" s="50"/>
      <c r="BC44" s="50"/>
      <c r="BD44" s="50"/>
      <c r="BE44" s="50"/>
      <c r="BF44" s="50"/>
      <c r="BG44" s="50"/>
    </row>
    <row r="45" spans="2:61" x14ac:dyDescent="0.2">
      <c r="B45" s="8"/>
      <c r="D45" s="31" t="s">
        <v>57</v>
      </c>
      <c r="E45" s="35" t="s">
        <v>134</v>
      </c>
      <c r="F45" s="38"/>
      <c r="G45" s="38"/>
      <c r="H45" s="38"/>
      <c r="I45" s="38"/>
      <c r="K45" s="38"/>
      <c r="L45" s="38"/>
      <c r="M45" s="38"/>
      <c r="N45" s="38"/>
      <c r="O45" s="38"/>
      <c r="P45" s="38"/>
      <c r="Q45" s="38"/>
      <c r="R45" s="38"/>
      <c r="S45" s="38"/>
      <c r="U45" s="38"/>
      <c r="V45" s="38"/>
      <c r="W45" s="38"/>
      <c r="X45" s="38"/>
      <c r="Y45" s="38"/>
      <c r="Z45" s="38"/>
      <c r="AA45" s="38"/>
      <c r="AB45" s="38"/>
      <c r="AC45" s="38"/>
      <c r="AE45" s="38"/>
      <c r="AF45" s="38"/>
      <c r="AG45" s="38"/>
      <c r="AH45" s="38"/>
      <c r="AI45" s="38"/>
      <c r="AJ45" s="38"/>
      <c r="AK45" s="38"/>
      <c r="AL45" s="38"/>
      <c r="AM45" s="38"/>
      <c r="AO45" s="38"/>
      <c r="AP45" s="38"/>
      <c r="AQ45" s="38"/>
      <c r="AR45" s="38"/>
      <c r="AS45" s="38"/>
      <c r="AT45" s="38"/>
      <c r="AU45" s="38"/>
      <c r="AV45" s="38"/>
      <c r="AW45" s="38"/>
      <c r="AY45" s="38"/>
      <c r="AZ45" s="38"/>
      <c r="BA45" s="38"/>
      <c r="BB45" s="38"/>
      <c r="BC45" s="38"/>
      <c r="BD45" s="38"/>
      <c r="BE45" s="38"/>
      <c r="BF45" s="38"/>
      <c r="BG45" s="38"/>
    </row>
    <row r="46" spans="2:61" x14ac:dyDescent="0.2">
      <c r="B46" s="8"/>
      <c r="D46" s="39" t="s">
        <v>57</v>
      </c>
      <c r="E46" s="40"/>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row>
    <row r="47" spans="2:61" x14ac:dyDescent="0.2">
      <c r="B47" s="8" t="s">
        <v>135</v>
      </c>
      <c r="C47" s="5" t="s">
        <v>136</v>
      </c>
      <c r="D47" s="39" t="s">
        <v>137</v>
      </c>
      <c r="E47" s="51" t="s">
        <v>138</v>
      </c>
      <c r="F47" s="41"/>
      <c r="G47" s="42"/>
      <c r="H47" s="42"/>
      <c r="I47" s="42"/>
      <c r="J47" s="38"/>
      <c r="K47" s="42"/>
      <c r="L47" s="42"/>
      <c r="M47" s="42"/>
      <c r="N47" s="42"/>
      <c r="O47" s="42"/>
      <c r="P47" s="42"/>
      <c r="Q47" s="42"/>
      <c r="R47" s="42"/>
      <c r="S47" s="42"/>
      <c r="T47" s="38"/>
      <c r="U47" s="42"/>
      <c r="V47" s="42"/>
      <c r="W47" s="42"/>
      <c r="X47" s="42"/>
      <c r="Y47" s="42"/>
      <c r="Z47" s="42"/>
      <c r="AA47" s="42"/>
      <c r="AB47" s="42"/>
      <c r="AC47" s="42"/>
      <c r="AD47" s="38"/>
      <c r="AE47" s="42"/>
      <c r="AF47" s="42"/>
      <c r="AG47" s="42"/>
      <c r="AH47" s="42"/>
      <c r="AI47" s="42"/>
      <c r="AJ47" s="42"/>
      <c r="AK47" s="42"/>
      <c r="AL47" s="42"/>
      <c r="AM47" s="42"/>
      <c r="AN47" s="38"/>
      <c r="AO47" s="42"/>
      <c r="AP47" s="42"/>
      <c r="AQ47" s="42"/>
      <c r="AR47" s="42"/>
      <c r="AS47" s="42"/>
      <c r="AT47" s="42"/>
      <c r="AU47" s="42"/>
      <c r="AV47" s="42"/>
      <c r="AW47" s="42"/>
      <c r="AX47" s="38"/>
      <c r="AY47" s="42"/>
      <c r="AZ47" s="42"/>
      <c r="BA47" s="42"/>
      <c r="BB47" s="42"/>
      <c r="BC47" s="42"/>
      <c r="BD47" s="42"/>
      <c r="BE47" s="42"/>
      <c r="BF47" s="42"/>
      <c r="BG47" s="42"/>
      <c r="BI47" s="10" t="s">
        <v>117</v>
      </c>
    </row>
    <row r="48" spans="2:61" x14ac:dyDescent="0.2">
      <c r="B48" s="8" t="s">
        <v>139</v>
      </c>
      <c r="C48" s="5" t="s">
        <v>140</v>
      </c>
      <c r="D48" s="52" t="s">
        <v>141</v>
      </c>
      <c r="E48" s="51" t="s">
        <v>142</v>
      </c>
      <c r="F48" s="41"/>
      <c r="G48" s="42"/>
      <c r="H48" s="42"/>
      <c r="I48" s="42"/>
      <c r="J48" s="19"/>
      <c r="K48" s="42"/>
      <c r="L48" s="42"/>
      <c r="M48" s="42"/>
      <c r="N48" s="42"/>
      <c r="O48" s="42"/>
      <c r="P48" s="42"/>
      <c r="Q48" s="42"/>
      <c r="R48" s="42"/>
      <c r="S48" s="42"/>
      <c r="U48" s="42"/>
      <c r="V48" s="42"/>
      <c r="W48" s="42"/>
      <c r="X48" s="42"/>
      <c r="Y48" s="42"/>
      <c r="Z48" s="42"/>
      <c r="AA48" s="42"/>
      <c r="AB48" s="42"/>
      <c r="AC48" s="42"/>
      <c r="AE48" s="42"/>
      <c r="AF48" s="42"/>
      <c r="AG48" s="42"/>
      <c r="AH48" s="42"/>
      <c r="AI48" s="42"/>
      <c r="AJ48" s="42"/>
      <c r="AK48" s="42"/>
      <c r="AL48" s="42"/>
      <c r="AM48" s="42"/>
      <c r="AO48" s="42"/>
      <c r="AP48" s="42"/>
      <c r="AQ48" s="42"/>
      <c r="AR48" s="42"/>
      <c r="AS48" s="42"/>
      <c r="AT48" s="42"/>
      <c r="AU48" s="42"/>
      <c r="AV48" s="42"/>
      <c r="AW48" s="42"/>
      <c r="AY48" s="42"/>
      <c r="AZ48" s="42"/>
      <c r="BA48" s="42"/>
      <c r="BB48" s="42"/>
      <c r="BC48" s="42"/>
      <c r="BD48" s="42"/>
      <c r="BE48" s="42"/>
      <c r="BF48" s="42"/>
      <c r="BG48" s="42"/>
      <c r="BI48" s="10" t="s">
        <v>117</v>
      </c>
    </row>
    <row r="49" spans="1:61" x14ac:dyDescent="0.2">
      <c r="B49" s="8" t="s">
        <v>143</v>
      </c>
      <c r="C49" s="5" t="s">
        <v>144</v>
      </c>
      <c r="D49" s="39" t="s">
        <v>145</v>
      </c>
      <c r="E49" s="51" t="s">
        <v>146</v>
      </c>
      <c r="F49" s="41"/>
      <c r="G49" s="42"/>
      <c r="H49" s="42"/>
      <c r="I49" s="42"/>
      <c r="J49" s="38"/>
      <c r="K49" s="42"/>
      <c r="L49" s="42"/>
      <c r="M49" s="42"/>
      <c r="N49" s="42"/>
      <c r="O49" s="42"/>
      <c r="P49" s="42"/>
      <c r="Q49" s="42"/>
      <c r="R49" s="42"/>
      <c r="S49" s="42"/>
      <c r="T49" s="38"/>
      <c r="U49" s="42"/>
      <c r="V49" s="42"/>
      <c r="W49" s="42"/>
      <c r="X49" s="42"/>
      <c r="Y49" s="42"/>
      <c r="Z49" s="42"/>
      <c r="AA49" s="42"/>
      <c r="AB49" s="42"/>
      <c r="AC49" s="42"/>
      <c r="AD49" s="38"/>
      <c r="AE49" s="42"/>
      <c r="AF49" s="42"/>
      <c r="AG49" s="42"/>
      <c r="AH49" s="42"/>
      <c r="AI49" s="42"/>
      <c r="AJ49" s="42"/>
      <c r="AK49" s="42"/>
      <c r="AL49" s="42"/>
      <c r="AM49" s="42"/>
      <c r="AN49" s="38"/>
      <c r="AO49" s="42"/>
      <c r="AP49" s="42"/>
      <c r="AQ49" s="42"/>
      <c r="AR49" s="42"/>
      <c r="AS49" s="42"/>
      <c r="AT49" s="42"/>
      <c r="AU49" s="42"/>
      <c r="AV49" s="42"/>
      <c r="AW49" s="42"/>
      <c r="AX49" s="38"/>
      <c r="AY49" s="42"/>
      <c r="AZ49" s="42"/>
      <c r="BA49" s="42"/>
      <c r="BB49" s="42"/>
      <c r="BC49" s="42"/>
      <c r="BD49" s="42"/>
      <c r="BE49" s="42"/>
      <c r="BF49" s="42"/>
      <c r="BG49" s="42"/>
      <c r="BI49" s="10" t="s">
        <v>117</v>
      </c>
    </row>
    <row r="50" spans="1:61" x14ac:dyDescent="0.2">
      <c r="B50" s="8"/>
      <c r="D50" s="52" t="s">
        <v>57</v>
      </c>
      <c r="E50" s="51" t="s">
        <v>147</v>
      </c>
      <c r="F50" s="38"/>
      <c r="G50" s="38"/>
      <c r="H50" s="38"/>
      <c r="I50" s="38"/>
      <c r="J50" s="19"/>
      <c r="K50" s="38"/>
      <c r="L50" s="38"/>
      <c r="M50" s="38"/>
      <c r="N50" s="38"/>
      <c r="O50" s="38"/>
      <c r="P50" s="38"/>
      <c r="Q50" s="38"/>
      <c r="R50" s="38"/>
      <c r="S50" s="38"/>
      <c r="U50" s="38"/>
      <c r="V50" s="38"/>
      <c r="W50" s="38"/>
      <c r="X50" s="38"/>
      <c r="Y50" s="38"/>
      <c r="Z50" s="38"/>
      <c r="AA50" s="38"/>
      <c r="AB50" s="38"/>
      <c r="AC50" s="38"/>
      <c r="AE50" s="38"/>
      <c r="AF50" s="38"/>
      <c r="AG50" s="38"/>
      <c r="AH50" s="38"/>
      <c r="AI50" s="38"/>
      <c r="AJ50" s="38"/>
      <c r="AK50" s="38"/>
      <c r="AL50" s="38"/>
      <c r="AM50" s="38"/>
      <c r="AO50" s="38"/>
      <c r="AP50" s="38"/>
      <c r="AQ50" s="38"/>
      <c r="AR50" s="38"/>
      <c r="AS50" s="38"/>
      <c r="AT50" s="38"/>
      <c r="AU50" s="38"/>
      <c r="AV50" s="38"/>
      <c r="AW50" s="38"/>
      <c r="AY50" s="38"/>
      <c r="AZ50" s="38"/>
      <c r="BA50" s="38"/>
      <c r="BB50" s="38"/>
      <c r="BC50" s="38"/>
      <c r="BD50" s="38"/>
      <c r="BE50" s="38"/>
      <c r="BF50" s="38"/>
      <c r="BG50" s="38"/>
    </row>
    <row r="51" spans="1:61" x14ac:dyDescent="0.2">
      <c r="B51" s="8" t="s">
        <v>148</v>
      </c>
      <c r="C51" s="5" t="s">
        <v>149</v>
      </c>
      <c r="D51" s="39" t="s">
        <v>150</v>
      </c>
      <c r="E51" s="51" t="s">
        <v>151</v>
      </c>
      <c r="F51" s="41"/>
      <c r="G51" s="42"/>
      <c r="H51" s="42"/>
      <c r="I51" s="42"/>
      <c r="J51" s="19"/>
      <c r="K51" s="42"/>
      <c r="L51" s="42"/>
      <c r="M51" s="42">
        <v>0</v>
      </c>
      <c r="N51" s="42">
        <v>0</v>
      </c>
      <c r="O51" s="42">
        <v>0</v>
      </c>
      <c r="P51" s="42">
        <v>0</v>
      </c>
      <c r="Q51" s="42">
        <v>0</v>
      </c>
      <c r="R51" s="42">
        <v>0</v>
      </c>
      <c r="S51" s="42">
        <v>0</v>
      </c>
      <c r="U51" s="42"/>
      <c r="V51" s="42"/>
      <c r="W51" s="42">
        <v>0</v>
      </c>
      <c r="X51" s="42">
        <v>0</v>
      </c>
      <c r="Y51" s="42">
        <v>0</v>
      </c>
      <c r="Z51" s="42">
        <v>0</v>
      </c>
      <c r="AA51" s="42">
        <v>0</v>
      </c>
      <c r="AB51" s="42">
        <v>0</v>
      </c>
      <c r="AC51" s="42">
        <v>0</v>
      </c>
      <c r="AE51" s="42"/>
      <c r="AF51" s="42"/>
      <c r="AG51" s="42">
        <v>0</v>
      </c>
      <c r="AH51" s="42">
        <v>0</v>
      </c>
      <c r="AI51" s="42">
        <v>0</v>
      </c>
      <c r="AJ51" s="42">
        <v>0</v>
      </c>
      <c r="AK51" s="42">
        <v>0</v>
      </c>
      <c r="AL51" s="42">
        <v>0</v>
      </c>
      <c r="AM51" s="42">
        <v>0</v>
      </c>
      <c r="AO51" s="42"/>
      <c r="AP51" s="42"/>
      <c r="AQ51" s="42">
        <v>0</v>
      </c>
      <c r="AR51" s="42">
        <v>0</v>
      </c>
      <c r="AS51" s="42">
        <v>0</v>
      </c>
      <c r="AT51" s="42">
        <v>0</v>
      </c>
      <c r="AU51" s="42">
        <v>0</v>
      </c>
      <c r="AV51" s="42">
        <v>0</v>
      </c>
      <c r="AW51" s="42">
        <v>0</v>
      </c>
      <c r="AY51" s="42"/>
      <c r="AZ51" s="42"/>
      <c r="BA51" s="42">
        <v>0</v>
      </c>
      <c r="BB51" s="42">
        <v>0</v>
      </c>
      <c r="BC51" s="42">
        <v>0</v>
      </c>
      <c r="BD51" s="42">
        <v>0</v>
      </c>
      <c r="BE51" s="42">
        <v>0</v>
      </c>
      <c r="BF51" s="42">
        <v>0</v>
      </c>
      <c r="BG51" s="42">
        <v>0</v>
      </c>
      <c r="BI51" s="10" t="s">
        <v>117</v>
      </c>
    </row>
    <row r="52" spans="1:61" x14ac:dyDescent="0.2">
      <c r="B52" s="8" t="s">
        <v>152</v>
      </c>
      <c r="C52" s="5" t="s">
        <v>153</v>
      </c>
      <c r="D52" s="31" t="s">
        <v>154</v>
      </c>
      <c r="E52" s="51" t="s">
        <v>155</v>
      </c>
      <c r="F52" s="41"/>
      <c r="G52" s="42"/>
      <c r="H52" s="42"/>
      <c r="I52" s="42"/>
      <c r="J52" s="38"/>
      <c r="K52" s="42"/>
      <c r="L52" s="42"/>
      <c r="M52" s="42"/>
      <c r="N52" s="42"/>
      <c r="O52" s="42"/>
      <c r="P52" s="42"/>
      <c r="Q52" s="42"/>
      <c r="R52" s="42"/>
      <c r="S52" s="42"/>
      <c r="T52" s="38"/>
      <c r="U52" s="42"/>
      <c r="V52" s="42"/>
      <c r="W52" s="42"/>
      <c r="X52" s="42"/>
      <c r="Y52" s="42"/>
      <c r="Z52" s="42"/>
      <c r="AA52" s="42"/>
      <c r="AB52" s="42"/>
      <c r="AC52" s="42"/>
      <c r="AD52" s="38"/>
      <c r="AE52" s="42"/>
      <c r="AF52" s="42"/>
      <c r="AG52" s="42"/>
      <c r="AH52" s="42"/>
      <c r="AI52" s="42"/>
      <c r="AJ52" s="42"/>
      <c r="AK52" s="42"/>
      <c r="AL52" s="42"/>
      <c r="AM52" s="42"/>
      <c r="AN52" s="38"/>
      <c r="AO52" s="42"/>
      <c r="AP52" s="42"/>
      <c r="AQ52" s="42"/>
      <c r="AR52" s="42"/>
      <c r="AS52" s="42"/>
      <c r="AT52" s="42"/>
      <c r="AU52" s="42"/>
      <c r="AV52" s="42"/>
      <c r="AW52" s="42"/>
      <c r="AX52" s="38"/>
      <c r="AY52" s="42"/>
      <c r="AZ52" s="42"/>
      <c r="BA52" s="42"/>
      <c r="BB52" s="42"/>
      <c r="BC52" s="42"/>
      <c r="BD52" s="42"/>
      <c r="BE52" s="42"/>
      <c r="BF52" s="42"/>
      <c r="BG52" s="42"/>
      <c r="BI52" s="10" t="s">
        <v>117</v>
      </c>
    </row>
    <row r="53" spans="1:61" x14ac:dyDescent="0.2">
      <c r="B53" s="8" t="s">
        <v>156</v>
      </c>
      <c r="C53" s="5" t="s">
        <v>157</v>
      </c>
      <c r="D53" s="31" t="s">
        <v>158</v>
      </c>
      <c r="E53" s="51" t="s">
        <v>159</v>
      </c>
      <c r="F53" s="41"/>
      <c r="G53" s="42"/>
      <c r="H53" s="42"/>
      <c r="I53" s="42"/>
      <c r="K53" s="42"/>
      <c r="L53" s="42"/>
      <c r="M53" s="42"/>
      <c r="N53" s="42"/>
      <c r="O53" s="42"/>
      <c r="P53" s="42"/>
      <c r="Q53" s="42"/>
      <c r="R53" s="42"/>
      <c r="S53" s="42"/>
      <c r="U53" s="42"/>
      <c r="V53" s="42"/>
      <c r="W53" s="42"/>
      <c r="X53" s="42"/>
      <c r="Y53" s="42"/>
      <c r="Z53" s="42"/>
      <c r="AA53" s="42"/>
      <c r="AB53" s="42"/>
      <c r="AC53" s="42"/>
      <c r="AE53" s="42"/>
      <c r="AF53" s="42"/>
      <c r="AG53" s="42"/>
      <c r="AH53" s="42"/>
      <c r="AI53" s="42"/>
      <c r="AJ53" s="42"/>
      <c r="AK53" s="42"/>
      <c r="AL53" s="42"/>
      <c r="AM53" s="42"/>
      <c r="AO53" s="42"/>
      <c r="AP53" s="42"/>
      <c r="AQ53" s="42"/>
      <c r="AR53" s="42"/>
      <c r="AS53" s="42"/>
      <c r="AT53" s="42"/>
      <c r="AU53" s="42"/>
      <c r="AV53" s="42"/>
      <c r="AW53" s="42"/>
      <c r="AY53" s="42"/>
      <c r="AZ53" s="42"/>
      <c r="BA53" s="42"/>
      <c r="BB53" s="42"/>
      <c r="BC53" s="42"/>
      <c r="BD53" s="42"/>
      <c r="BE53" s="42"/>
      <c r="BF53" s="42"/>
      <c r="BG53" s="42"/>
      <c r="BI53" s="10" t="s">
        <v>117</v>
      </c>
    </row>
    <row r="54" spans="1:61" x14ac:dyDescent="0.2">
      <c r="B54" s="8" t="s">
        <v>160</v>
      </c>
      <c r="C54" s="5" t="s">
        <v>161</v>
      </c>
      <c r="D54" s="39" t="s">
        <v>162</v>
      </c>
      <c r="E54" s="51" t="s">
        <v>163</v>
      </c>
      <c r="F54" s="41"/>
      <c r="G54" s="42"/>
      <c r="H54" s="42"/>
      <c r="I54" s="42"/>
      <c r="K54" s="42"/>
      <c r="L54" s="42"/>
      <c r="M54" s="42"/>
      <c r="N54" s="42"/>
      <c r="O54" s="42"/>
      <c r="P54" s="42"/>
      <c r="Q54" s="42"/>
      <c r="R54" s="42"/>
      <c r="S54" s="42"/>
      <c r="U54" s="42"/>
      <c r="V54" s="42"/>
      <c r="W54" s="42"/>
      <c r="X54" s="42"/>
      <c r="Y54" s="42"/>
      <c r="Z54" s="42"/>
      <c r="AA54" s="42"/>
      <c r="AB54" s="42"/>
      <c r="AC54" s="42"/>
      <c r="AE54" s="42"/>
      <c r="AF54" s="42"/>
      <c r="AG54" s="42"/>
      <c r="AH54" s="42"/>
      <c r="AI54" s="42"/>
      <c r="AJ54" s="42"/>
      <c r="AK54" s="42"/>
      <c r="AL54" s="42"/>
      <c r="AM54" s="42"/>
      <c r="AO54" s="42"/>
      <c r="AP54" s="42"/>
      <c r="AQ54" s="42"/>
      <c r="AR54" s="42"/>
      <c r="AS54" s="42"/>
      <c r="AT54" s="42"/>
      <c r="AU54" s="42"/>
      <c r="AV54" s="42"/>
      <c r="AW54" s="42"/>
      <c r="AY54" s="42"/>
      <c r="AZ54" s="42"/>
      <c r="BA54" s="42"/>
      <c r="BB54" s="42"/>
      <c r="BC54" s="42"/>
      <c r="BD54" s="42"/>
      <c r="BE54" s="42"/>
      <c r="BF54" s="42"/>
      <c r="BG54" s="42"/>
      <c r="BI54" s="10" t="s">
        <v>117</v>
      </c>
    </row>
    <row r="55" spans="1:61" x14ac:dyDescent="0.2">
      <c r="B55" s="8" t="s">
        <v>164</v>
      </c>
      <c r="C55" s="5" t="s">
        <v>165</v>
      </c>
      <c r="D55" s="39" t="s">
        <v>166</v>
      </c>
      <c r="E55" s="51" t="s">
        <v>167</v>
      </c>
      <c r="F55" s="41"/>
      <c r="G55" s="42"/>
      <c r="H55" s="42"/>
      <c r="I55" s="42"/>
      <c r="K55" s="42"/>
      <c r="L55" s="42"/>
      <c r="M55" s="42"/>
      <c r="N55" s="42"/>
      <c r="O55" s="42"/>
      <c r="P55" s="42"/>
      <c r="Q55" s="42"/>
      <c r="R55" s="42"/>
      <c r="S55" s="42"/>
      <c r="U55" s="42"/>
      <c r="V55" s="42"/>
      <c r="W55" s="42"/>
      <c r="X55" s="42"/>
      <c r="Y55" s="42"/>
      <c r="Z55" s="42"/>
      <c r="AA55" s="42"/>
      <c r="AB55" s="42"/>
      <c r="AC55" s="42"/>
      <c r="AE55" s="42"/>
      <c r="AF55" s="42"/>
      <c r="AG55" s="42"/>
      <c r="AH55" s="42"/>
      <c r="AI55" s="42"/>
      <c r="AJ55" s="42"/>
      <c r="AK55" s="42"/>
      <c r="AL55" s="42"/>
      <c r="AM55" s="42"/>
      <c r="AO55" s="42"/>
      <c r="AP55" s="42"/>
      <c r="AQ55" s="42"/>
      <c r="AR55" s="42"/>
      <c r="AS55" s="42"/>
      <c r="AT55" s="42"/>
      <c r="AU55" s="42"/>
      <c r="AV55" s="42"/>
      <c r="AW55" s="42"/>
      <c r="AY55" s="42"/>
      <c r="AZ55" s="42"/>
      <c r="BA55" s="42"/>
      <c r="BB55" s="42"/>
      <c r="BC55" s="42"/>
      <c r="BD55" s="42"/>
      <c r="BE55" s="42"/>
      <c r="BF55" s="42"/>
      <c r="BG55" s="42"/>
      <c r="BI55" s="10" t="s">
        <v>117</v>
      </c>
    </row>
    <row r="56" spans="1:61" x14ac:dyDescent="0.2">
      <c r="A56" s="11"/>
      <c r="B56" s="8"/>
      <c r="D56" s="39" t="s">
        <v>57</v>
      </c>
      <c r="E56" s="51" t="s">
        <v>168</v>
      </c>
      <c r="F56" s="38"/>
      <c r="G56" s="38"/>
      <c r="H56" s="38"/>
      <c r="I56" s="38"/>
      <c r="K56" s="38"/>
      <c r="L56" s="38"/>
      <c r="M56" s="38"/>
      <c r="N56" s="38"/>
      <c r="O56" s="38"/>
      <c r="P56" s="38"/>
      <c r="Q56" s="38"/>
      <c r="R56" s="38"/>
      <c r="S56" s="38"/>
      <c r="U56" s="38"/>
      <c r="V56" s="38"/>
      <c r="W56" s="38"/>
      <c r="X56" s="38"/>
      <c r="Y56" s="38"/>
      <c r="Z56" s="38"/>
      <c r="AA56" s="38"/>
      <c r="AB56" s="38"/>
      <c r="AC56" s="38"/>
      <c r="AE56" s="38"/>
      <c r="AF56" s="38"/>
      <c r="AG56" s="38"/>
      <c r="AH56" s="38"/>
      <c r="AI56" s="38"/>
      <c r="AJ56" s="38"/>
      <c r="AK56" s="38"/>
      <c r="AL56" s="38"/>
      <c r="AM56" s="38"/>
      <c r="AO56" s="38"/>
      <c r="AP56" s="38"/>
      <c r="AQ56" s="38"/>
      <c r="AR56" s="38"/>
      <c r="AS56" s="38"/>
      <c r="AT56" s="38"/>
      <c r="AU56" s="38"/>
      <c r="AV56" s="38"/>
      <c r="AW56" s="38"/>
      <c r="AY56" s="38"/>
      <c r="AZ56" s="38"/>
      <c r="BA56" s="38"/>
      <c r="BB56" s="38"/>
      <c r="BC56" s="38"/>
      <c r="BD56" s="38"/>
      <c r="BE56" s="38"/>
      <c r="BF56" s="38"/>
      <c r="BG56" s="38"/>
    </row>
    <row r="57" spans="1:61" x14ac:dyDescent="0.2">
      <c r="A57" s="11"/>
      <c r="B57" s="8" t="s">
        <v>169</v>
      </c>
      <c r="C57" s="5" t="s">
        <v>170</v>
      </c>
      <c r="D57" s="53" t="s">
        <v>171</v>
      </c>
      <c r="E57" s="51" t="s">
        <v>172</v>
      </c>
      <c r="F57" s="41"/>
      <c r="G57" s="42"/>
      <c r="H57" s="42"/>
      <c r="I57" s="42"/>
      <c r="K57" s="42"/>
      <c r="L57" s="42"/>
      <c r="M57" s="42"/>
      <c r="N57" s="42"/>
      <c r="O57" s="42"/>
      <c r="P57" s="42"/>
      <c r="Q57" s="42"/>
      <c r="R57" s="42"/>
      <c r="S57" s="42"/>
      <c r="U57" s="42"/>
      <c r="V57" s="42"/>
      <c r="W57" s="42"/>
      <c r="X57" s="42"/>
      <c r="Y57" s="42"/>
      <c r="Z57" s="42"/>
      <c r="AA57" s="42"/>
      <c r="AB57" s="42"/>
      <c r="AC57" s="42"/>
      <c r="AE57" s="42"/>
      <c r="AF57" s="42"/>
      <c r="AG57" s="42"/>
      <c r="AH57" s="42"/>
      <c r="AI57" s="42"/>
      <c r="AJ57" s="42"/>
      <c r="AK57" s="42"/>
      <c r="AL57" s="42"/>
      <c r="AM57" s="42"/>
      <c r="AO57" s="42"/>
      <c r="AP57" s="42"/>
      <c r="AQ57" s="42"/>
      <c r="AR57" s="42"/>
      <c r="AS57" s="42"/>
      <c r="AT57" s="42"/>
      <c r="AU57" s="42"/>
      <c r="AV57" s="42"/>
      <c r="AW57" s="42"/>
      <c r="AY57" s="42"/>
      <c r="AZ57" s="42"/>
      <c r="BA57" s="42"/>
      <c r="BB57" s="42"/>
      <c r="BC57" s="42"/>
      <c r="BD57" s="42"/>
      <c r="BE57" s="42"/>
      <c r="BF57" s="42"/>
      <c r="BG57" s="42"/>
      <c r="BI57" s="10" t="s">
        <v>117</v>
      </c>
    </row>
    <row r="58" spans="1:61" x14ac:dyDescent="0.2">
      <c r="B58" s="8" t="s">
        <v>173</v>
      </c>
      <c r="C58" s="5" t="s">
        <v>174</v>
      </c>
      <c r="D58" s="54" t="s">
        <v>175</v>
      </c>
      <c r="E58" s="51" t="s">
        <v>176</v>
      </c>
      <c r="F58" s="41"/>
      <c r="G58" s="42"/>
      <c r="H58" s="42"/>
      <c r="I58" s="42"/>
      <c r="K58" s="42"/>
      <c r="L58" s="42"/>
      <c r="M58" s="42"/>
      <c r="N58" s="42"/>
      <c r="O58" s="42"/>
      <c r="P58" s="42"/>
      <c r="Q58" s="42"/>
      <c r="R58" s="42"/>
      <c r="S58" s="42"/>
      <c r="U58" s="42"/>
      <c r="V58" s="42"/>
      <c r="W58" s="42"/>
      <c r="X58" s="42"/>
      <c r="Y58" s="42"/>
      <c r="Z58" s="42"/>
      <c r="AA58" s="42"/>
      <c r="AB58" s="42"/>
      <c r="AC58" s="42"/>
      <c r="AE58" s="42"/>
      <c r="AF58" s="42"/>
      <c r="AG58" s="42"/>
      <c r="AH58" s="42"/>
      <c r="AI58" s="42"/>
      <c r="AJ58" s="42"/>
      <c r="AK58" s="42"/>
      <c r="AL58" s="42"/>
      <c r="AM58" s="42"/>
      <c r="AO58" s="42"/>
      <c r="AP58" s="42"/>
      <c r="AQ58" s="42"/>
      <c r="AR58" s="42"/>
      <c r="AS58" s="42"/>
      <c r="AT58" s="42"/>
      <c r="AU58" s="42"/>
      <c r="AV58" s="42"/>
      <c r="AW58" s="42"/>
      <c r="AY58" s="42"/>
      <c r="AZ58" s="42"/>
      <c r="BA58" s="42"/>
      <c r="BB58" s="42"/>
      <c r="BC58" s="42"/>
      <c r="BD58" s="42"/>
      <c r="BE58" s="42"/>
      <c r="BF58" s="42"/>
      <c r="BG58" s="42"/>
      <c r="BI58" s="10" t="s">
        <v>117</v>
      </c>
    </row>
    <row r="59" spans="1:61" x14ac:dyDescent="0.2">
      <c r="B59" s="8" t="s">
        <v>177</v>
      </c>
      <c r="C59" s="5" t="s">
        <v>178</v>
      </c>
      <c r="D59" s="54" t="s">
        <v>179</v>
      </c>
      <c r="E59" s="51" t="s">
        <v>180</v>
      </c>
      <c r="F59" s="41"/>
      <c r="G59" s="42"/>
      <c r="H59" s="42"/>
      <c r="I59" s="42"/>
      <c r="K59" s="42"/>
      <c r="L59" s="42"/>
      <c r="M59" s="42"/>
      <c r="N59" s="42"/>
      <c r="O59" s="42"/>
      <c r="P59" s="42"/>
      <c r="Q59" s="42"/>
      <c r="R59" s="42"/>
      <c r="S59" s="42"/>
      <c r="U59" s="42"/>
      <c r="V59" s="42"/>
      <c r="W59" s="42"/>
      <c r="X59" s="42"/>
      <c r="Y59" s="42"/>
      <c r="Z59" s="42"/>
      <c r="AA59" s="42"/>
      <c r="AB59" s="42"/>
      <c r="AC59" s="42"/>
      <c r="AE59" s="42"/>
      <c r="AF59" s="42"/>
      <c r="AG59" s="42"/>
      <c r="AH59" s="42"/>
      <c r="AI59" s="42"/>
      <c r="AJ59" s="42"/>
      <c r="AK59" s="42"/>
      <c r="AL59" s="42"/>
      <c r="AM59" s="42"/>
      <c r="AO59" s="42"/>
      <c r="AP59" s="42"/>
      <c r="AQ59" s="42"/>
      <c r="AR59" s="42"/>
      <c r="AS59" s="42"/>
      <c r="AT59" s="42"/>
      <c r="AU59" s="42"/>
      <c r="AV59" s="42"/>
      <c r="AW59" s="42"/>
      <c r="AY59" s="42"/>
      <c r="AZ59" s="42"/>
      <c r="BA59" s="42"/>
      <c r="BB59" s="42"/>
      <c r="BC59" s="42"/>
      <c r="BD59" s="42"/>
      <c r="BE59" s="42"/>
      <c r="BF59" s="42"/>
      <c r="BG59" s="42"/>
      <c r="BI59" s="10" t="s">
        <v>117</v>
      </c>
    </row>
    <row r="60" spans="1:61" x14ac:dyDescent="0.2">
      <c r="A60" s="11"/>
      <c r="B60" s="8" t="s">
        <v>181</v>
      </c>
      <c r="C60" s="5" t="s">
        <v>182</v>
      </c>
      <c r="D60" s="54" t="s">
        <v>183</v>
      </c>
      <c r="E60" s="51" t="s">
        <v>184</v>
      </c>
      <c r="F60" s="41"/>
      <c r="G60" s="42"/>
      <c r="H60" s="42"/>
      <c r="I60" s="42"/>
      <c r="K60" s="42"/>
      <c r="L60" s="42"/>
      <c r="M60" s="42"/>
      <c r="N60" s="42"/>
      <c r="O60" s="42"/>
      <c r="P60" s="42"/>
      <c r="Q60" s="42"/>
      <c r="R60" s="42"/>
      <c r="S60" s="42"/>
      <c r="U60" s="42"/>
      <c r="V60" s="42"/>
      <c r="W60" s="42"/>
      <c r="X60" s="42"/>
      <c r="Y60" s="42"/>
      <c r="Z60" s="42"/>
      <c r="AA60" s="42"/>
      <c r="AB60" s="42"/>
      <c r="AC60" s="42"/>
      <c r="AE60" s="42"/>
      <c r="AF60" s="42"/>
      <c r="AG60" s="42"/>
      <c r="AH60" s="42"/>
      <c r="AI60" s="42"/>
      <c r="AJ60" s="42"/>
      <c r="AK60" s="42"/>
      <c r="AL60" s="42"/>
      <c r="AM60" s="42"/>
      <c r="AO60" s="42"/>
      <c r="AP60" s="42"/>
      <c r="AQ60" s="42"/>
      <c r="AR60" s="42"/>
      <c r="AS60" s="42"/>
      <c r="AT60" s="42"/>
      <c r="AU60" s="42"/>
      <c r="AV60" s="42"/>
      <c r="AW60" s="42"/>
      <c r="AY60" s="42"/>
      <c r="AZ60" s="42"/>
      <c r="BA60" s="42"/>
      <c r="BB60" s="42"/>
      <c r="BC60" s="42"/>
      <c r="BD60" s="42"/>
      <c r="BE60" s="42"/>
      <c r="BF60" s="42"/>
      <c r="BG60" s="42"/>
      <c r="BI60" s="10" t="s">
        <v>117</v>
      </c>
    </row>
    <row r="61" spans="1:61" x14ac:dyDescent="0.2">
      <c r="A61" s="11"/>
      <c r="B61" s="8" t="s">
        <v>185</v>
      </c>
      <c r="C61" s="5" t="s">
        <v>186</v>
      </c>
      <c r="D61" s="54" t="s">
        <v>187</v>
      </c>
      <c r="E61" s="51" t="s">
        <v>188</v>
      </c>
      <c r="F61" s="41">
        <v>0</v>
      </c>
      <c r="G61" s="42">
        <v>0</v>
      </c>
      <c r="H61" s="42">
        <v>0</v>
      </c>
      <c r="I61" s="42">
        <v>0</v>
      </c>
      <c r="K61" s="42">
        <v>0</v>
      </c>
      <c r="L61" s="42">
        <v>0</v>
      </c>
      <c r="M61" s="42">
        <v>173.398</v>
      </c>
      <c r="N61" s="42">
        <v>226.77799999999999</v>
      </c>
      <c r="O61" s="42">
        <v>235.316</v>
      </c>
      <c r="P61" s="42">
        <v>240.02500000000001</v>
      </c>
      <c r="Q61" s="42">
        <v>242.429</v>
      </c>
      <c r="R61" s="42">
        <v>249.25700000000001</v>
      </c>
      <c r="S61" s="42">
        <v>259.23899999999998</v>
      </c>
      <c r="U61" s="42">
        <v>0</v>
      </c>
      <c r="V61" s="42">
        <v>0</v>
      </c>
      <c r="W61" s="42">
        <v>159.44499999999999</v>
      </c>
      <c r="X61" s="42">
        <v>203.58799999999999</v>
      </c>
      <c r="Y61" s="42">
        <v>200.42599999999999</v>
      </c>
      <c r="Z61" s="42">
        <v>195.702</v>
      </c>
      <c r="AA61" s="42">
        <v>189.97399999999999</v>
      </c>
      <c r="AB61" s="42">
        <v>187.42099999999999</v>
      </c>
      <c r="AC61" s="42">
        <v>186.11500000000001</v>
      </c>
      <c r="AE61" s="42">
        <v>0</v>
      </c>
      <c r="AF61" s="42">
        <v>0</v>
      </c>
      <c r="AG61" s="42">
        <v>173.398</v>
      </c>
      <c r="AH61" s="42">
        <v>226.77799999999999</v>
      </c>
      <c r="AI61" s="42">
        <v>235.316</v>
      </c>
      <c r="AJ61" s="42">
        <v>240.02500000000001</v>
      </c>
      <c r="AK61" s="42">
        <v>242.429</v>
      </c>
      <c r="AL61" s="42">
        <v>249.25700000000001</v>
      </c>
      <c r="AM61" s="42">
        <v>259.23899999999998</v>
      </c>
      <c r="AO61" s="42">
        <v>0</v>
      </c>
      <c r="AP61" s="42">
        <v>0</v>
      </c>
      <c r="AQ61" s="42">
        <v>170.75399999999999</v>
      </c>
      <c r="AR61" s="42">
        <v>221.78100000000001</v>
      </c>
      <c r="AS61" s="42">
        <v>225.17</v>
      </c>
      <c r="AT61" s="42">
        <v>225.38399999999999</v>
      </c>
      <c r="AU61" s="42">
        <v>223.57599999999999</v>
      </c>
      <c r="AV61" s="42">
        <v>225.55099999999999</v>
      </c>
      <c r="AW61" s="42">
        <v>229.982</v>
      </c>
      <c r="AY61" s="42">
        <v>0</v>
      </c>
      <c r="AZ61" s="42">
        <v>0</v>
      </c>
      <c r="BA61" s="42">
        <v>159.36199999999999</v>
      </c>
      <c r="BB61" s="42">
        <v>204.709</v>
      </c>
      <c r="BC61" s="42">
        <v>202.48699999999999</v>
      </c>
      <c r="BD61" s="42">
        <v>198.375</v>
      </c>
      <c r="BE61" s="42">
        <v>192.27099999999999</v>
      </c>
      <c r="BF61" s="42">
        <v>189.60400000000001</v>
      </c>
      <c r="BG61" s="42">
        <v>189.11699999999999</v>
      </c>
      <c r="BI61" s="10" t="s">
        <v>117</v>
      </c>
    </row>
    <row r="62" spans="1:61" x14ac:dyDescent="0.2">
      <c r="A62" s="11"/>
      <c r="B62" s="8" t="s">
        <v>189</v>
      </c>
      <c r="C62" s="5" t="s">
        <v>190</v>
      </c>
      <c r="D62" s="54" t="s">
        <v>191</v>
      </c>
      <c r="E62" s="51" t="s">
        <v>192</v>
      </c>
      <c r="F62" s="41"/>
      <c r="G62" s="42"/>
      <c r="H62" s="42"/>
      <c r="I62" s="42"/>
      <c r="K62" s="42"/>
      <c r="L62" s="42"/>
      <c r="M62" s="42">
        <v>0</v>
      </c>
      <c r="N62" s="42">
        <v>0</v>
      </c>
      <c r="O62" s="42">
        <v>0</v>
      </c>
      <c r="P62" s="42">
        <v>0</v>
      </c>
      <c r="Q62" s="42">
        <v>0</v>
      </c>
      <c r="R62" s="42">
        <v>0</v>
      </c>
      <c r="S62" s="42">
        <v>0</v>
      </c>
      <c r="U62" s="42"/>
      <c r="V62" s="42"/>
      <c r="W62" s="42">
        <v>0</v>
      </c>
      <c r="X62" s="42">
        <v>0</v>
      </c>
      <c r="Y62" s="42">
        <v>0</v>
      </c>
      <c r="Z62" s="42">
        <v>0</v>
      </c>
      <c r="AA62" s="42">
        <v>0</v>
      </c>
      <c r="AB62" s="42">
        <v>0</v>
      </c>
      <c r="AC62" s="42">
        <v>0</v>
      </c>
      <c r="AE62" s="42"/>
      <c r="AF62" s="42"/>
      <c r="AG62" s="42">
        <v>0</v>
      </c>
      <c r="AH62" s="42">
        <v>0</v>
      </c>
      <c r="AI62" s="42">
        <v>0</v>
      </c>
      <c r="AJ62" s="42">
        <v>0</v>
      </c>
      <c r="AK62" s="42">
        <v>0</v>
      </c>
      <c r="AL62" s="42">
        <v>0</v>
      </c>
      <c r="AM62" s="42">
        <v>0</v>
      </c>
      <c r="AO62" s="42"/>
      <c r="AP62" s="42"/>
      <c r="AQ62" s="42">
        <v>0</v>
      </c>
      <c r="AR62" s="42">
        <v>0</v>
      </c>
      <c r="AS62" s="42">
        <v>0</v>
      </c>
      <c r="AT62" s="42">
        <v>0</v>
      </c>
      <c r="AU62" s="42">
        <v>0</v>
      </c>
      <c r="AV62" s="42">
        <v>0</v>
      </c>
      <c r="AW62" s="42">
        <v>0</v>
      </c>
      <c r="AY62" s="42"/>
      <c r="AZ62" s="42"/>
      <c r="BA62" s="42">
        <v>0</v>
      </c>
      <c r="BB62" s="42">
        <v>0</v>
      </c>
      <c r="BC62" s="42">
        <v>0</v>
      </c>
      <c r="BD62" s="42">
        <v>0</v>
      </c>
      <c r="BE62" s="42">
        <v>0</v>
      </c>
      <c r="BF62" s="42">
        <v>0</v>
      </c>
      <c r="BG62" s="42">
        <v>0</v>
      </c>
      <c r="BI62" s="10" t="s">
        <v>117</v>
      </c>
    </row>
    <row r="63" spans="1:61" x14ac:dyDescent="0.2">
      <c r="A63" s="11"/>
      <c r="B63" s="8" t="s">
        <v>193</v>
      </c>
      <c r="C63" s="5" t="s">
        <v>194</v>
      </c>
      <c r="D63" s="54" t="s">
        <v>195</v>
      </c>
      <c r="E63" s="51" t="s">
        <v>196</v>
      </c>
      <c r="F63" s="41"/>
      <c r="G63" s="42"/>
      <c r="H63" s="42"/>
      <c r="I63" s="42"/>
      <c r="K63" s="42"/>
      <c r="L63" s="42"/>
      <c r="M63" s="42">
        <v>0</v>
      </c>
      <c r="N63" s="42">
        <v>0</v>
      </c>
      <c r="O63" s="42">
        <v>0</v>
      </c>
      <c r="P63" s="42">
        <v>0</v>
      </c>
      <c r="Q63" s="42">
        <v>0</v>
      </c>
      <c r="R63" s="42">
        <v>0</v>
      </c>
      <c r="S63" s="42">
        <v>0</v>
      </c>
      <c r="U63" s="42"/>
      <c r="V63" s="42"/>
      <c r="W63" s="42">
        <v>0</v>
      </c>
      <c r="X63" s="42">
        <v>0</v>
      </c>
      <c r="Y63" s="42">
        <v>0</v>
      </c>
      <c r="Z63" s="42">
        <v>0</v>
      </c>
      <c r="AA63" s="42">
        <v>0</v>
      </c>
      <c r="AB63" s="42">
        <v>0</v>
      </c>
      <c r="AC63" s="42">
        <v>0</v>
      </c>
      <c r="AE63" s="42"/>
      <c r="AF63" s="42"/>
      <c r="AG63" s="42">
        <v>0</v>
      </c>
      <c r="AH63" s="42">
        <v>0</v>
      </c>
      <c r="AI63" s="42">
        <v>0</v>
      </c>
      <c r="AJ63" s="42">
        <v>0</v>
      </c>
      <c r="AK63" s="42">
        <v>0</v>
      </c>
      <c r="AL63" s="42">
        <v>0</v>
      </c>
      <c r="AM63" s="42">
        <v>0</v>
      </c>
      <c r="AO63" s="42"/>
      <c r="AP63" s="42"/>
      <c r="AQ63" s="42">
        <v>0</v>
      </c>
      <c r="AR63" s="42">
        <v>0</v>
      </c>
      <c r="AS63" s="42">
        <v>0</v>
      </c>
      <c r="AT63" s="42">
        <v>0</v>
      </c>
      <c r="AU63" s="42">
        <v>0</v>
      </c>
      <c r="AV63" s="42">
        <v>0</v>
      </c>
      <c r="AW63" s="42">
        <v>0</v>
      </c>
      <c r="AY63" s="42"/>
      <c r="AZ63" s="42"/>
      <c r="BA63" s="42">
        <v>0</v>
      </c>
      <c r="BB63" s="42">
        <v>0</v>
      </c>
      <c r="BC63" s="42">
        <v>0</v>
      </c>
      <c r="BD63" s="42">
        <v>0</v>
      </c>
      <c r="BE63" s="42">
        <v>0</v>
      </c>
      <c r="BF63" s="42">
        <v>0</v>
      </c>
      <c r="BG63" s="42">
        <v>0</v>
      </c>
      <c r="BI63" s="10" t="s">
        <v>117</v>
      </c>
    </row>
    <row r="64" spans="1:61" x14ac:dyDescent="0.2">
      <c r="A64" s="11"/>
      <c r="B64" s="8" t="s">
        <v>197</v>
      </c>
      <c r="C64" s="5" t="s">
        <v>198</v>
      </c>
      <c r="D64" s="54" t="s">
        <v>199</v>
      </c>
      <c r="E64" s="51" t="s">
        <v>200</v>
      </c>
      <c r="F64" s="41"/>
      <c r="G64" s="42"/>
      <c r="H64" s="42"/>
      <c r="I64" s="42"/>
      <c r="K64" s="42"/>
      <c r="L64" s="42"/>
      <c r="M64" s="42">
        <v>0</v>
      </c>
      <c r="N64" s="42">
        <v>0</v>
      </c>
      <c r="O64" s="42">
        <v>0</v>
      </c>
      <c r="P64" s="42">
        <v>0</v>
      </c>
      <c r="Q64" s="42">
        <v>0</v>
      </c>
      <c r="R64" s="42">
        <v>0</v>
      </c>
      <c r="S64" s="42">
        <v>0</v>
      </c>
      <c r="U64" s="42"/>
      <c r="V64" s="42"/>
      <c r="W64" s="42">
        <v>0</v>
      </c>
      <c r="X64" s="42">
        <v>0</v>
      </c>
      <c r="Y64" s="42">
        <v>0</v>
      </c>
      <c r="Z64" s="42">
        <v>0</v>
      </c>
      <c r="AA64" s="42">
        <v>0</v>
      </c>
      <c r="AB64" s="42">
        <v>0</v>
      </c>
      <c r="AC64" s="42">
        <v>0</v>
      </c>
      <c r="AE64" s="42"/>
      <c r="AF64" s="42"/>
      <c r="AG64" s="42">
        <v>0</v>
      </c>
      <c r="AH64" s="42">
        <v>0</v>
      </c>
      <c r="AI64" s="42">
        <v>0</v>
      </c>
      <c r="AJ64" s="42">
        <v>0</v>
      </c>
      <c r="AK64" s="42">
        <v>0</v>
      </c>
      <c r="AL64" s="42">
        <v>0</v>
      </c>
      <c r="AM64" s="42">
        <v>0</v>
      </c>
      <c r="AO64" s="42"/>
      <c r="AP64" s="42"/>
      <c r="AQ64" s="42">
        <v>0</v>
      </c>
      <c r="AR64" s="42">
        <v>0</v>
      </c>
      <c r="AS64" s="42">
        <v>0</v>
      </c>
      <c r="AT64" s="42">
        <v>0</v>
      </c>
      <c r="AU64" s="42">
        <v>0</v>
      </c>
      <c r="AV64" s="42">
        <v>0</v>
      </c>
      <c r="AW64" s="42">
        <v>0</v>
      </c>
      <c r="AY64" s="42"/>
      <c r="AZ64" s="42"/>
      <c r="BA64" s="42">
        <v>0</v>
      </c>
      <c r="BB64" s="42">
        <v>0</v>
      </c>
      <c r="BC64" s="42">
        <v>0</v>
      </c>
      <c r="BD64" s="42">
        <v>0</v>
      </c>
      <c r="BE64" s="42">
        <v>0</v>
      </c>
      <c r="BF64" s="42">
        <v>0</v>
      </c>
      <c r="BG64" s="42">
        <v>0</v>
      </c>
      <c r="BI64" s="10" t="s">
        <v>117</v>
      </c>
    </row>
    <row r="65" spans="1:61" x14ac:dyDescent="0.2">
      <c r="A65" s="11"/>
      <c r="B65" s="8"/>
      <c r="C65" s="5" t="s">
        <v>201</v>
      </c>
      <c r="D65" s="54" t="s">
        <v>202</v>
      </c>
      <c r="E65" s="51" t="s">
        <v>203</v>
      </c>
      <c r="F65" s="41"/>
      <c r="G65" s="42"/>
      <c r="H65" s="42"/>
      <c r="I65" s="42"/>
      <c r="K65" s="42"/>
      <c r="L65" s="42"/>
      <c r="M65" s="42"/>
      <c r="N65" s="42"/>
      <c r="O65" s="42"/>
      <c r="P65" s="42"/>
      <c r="Q65" s="42"/>
      <c r="R65" s="42"/>
      <c r="S65" s="42"/>
      <c r="U65" s="42"/>
      <c r="V65" s="42"/>
      <c r="W65" s="42"/>
      <c r="X65" s="42"/>
      <c r="Y65" s="42"/>
      <c r="Z65" s="42"/>
      <c r="AA65" s="42"/>
      <c r="AB65" s="42"/>
      <c r="AC65" s="42"/>
      <c r="AE65" s="42"/>
      <c r="AF65" s="42"/>
      <c r="AG65" s="42"/>
      <c r="AH65" s="42"/>
      <c r="AI65" s="42"/>
      <c r="AJ65" s="42"/>
      <c r="AK65" s="42"/>
      <c r="AL65" s="42"/>
      <c r="AM65" s="42"/>
      <c r="AO65" s="42"/>
      <c r="AP65" s="42"/>
      <c r="AQ65" s="42"/>
      <c r="AR65" s="42"/>
      <c r="AS65" s="42"/>
      <c r="AT65" s="42"/>
      <c r="AU65" s="42"/>
      <c r="AV65" s="42"/>
      <c r="AW65" s="42"/>
      <c r="AY65" s="42"/>
      <c r="AZ65" s="42"/>
      <c r="BA65" s="42"/>
      <c r="BB65" s="42"/>
      <c r="BC65" s="42"/>
      <c r="BD65" s="42"/>
      <c r="BE65" s="42"/>
      <c r="BF65" s="42"/>
      <c r="BG65" s="42"/>
    </row>
    <row r="66" spans="1:61" x14ac:dyDescent="0.2">
      <c r="A66" s="11"/>
      <c r="B66" s="8" t="s">
        <v>204</v>
      </c>
      <c r="C66" s="5" t="s">
        <v>205</v>
      </c>
      <c r="D66" s="54" t="s">
        <v>206</v>
      </c>
      <c r="E66" s="51" t="s">
        <v>207</v>
      </c>
      <c r="F66" s="41"/>
      <c r="G66" s="42"/>
      <c r="H66" s="42"/>
      <c r="I66" s="42"/>
      <c r="K66" s="42"/>
      <c r="L66" s="42"/>
      <c r="M66" s="42"/>
      <c r="N66" s="42"/>
      <c r="O66" s="42"/>
      <c r="P66" s="42"/>
      <c r="Q66" s="42"/>
      <c r="R66" s="42"/>
      <c r="S66" s="42"/>
      <c r="U66" s="42"/>
      <c r="V66" s="42"/>
      <c r="W66" s="42"/>
      <c r="X66" s="42"/>
      <c r="Y66" s="42"/>
      <c r="Z66" s="42"/>
      <c r="AA66" s="42"/>
      <c r="AB66" s="42"/>
      <c r="AC66" s="42"/>
      <c r="AE66" s="42"/>
      <c r="AF66" s="42"/>
      <c r="AG66" s="42"/>
      <c r="AH66" s="42"/>
      <c r="AI66" s="42"/>
      <c r="AJ66" s="42"/>
      <c r="AK66" s="42"/>
      <c r="AL66" s="42"/>
      <c r="AM66" s="42"/>
      <c r="AO66" s="42"/>
      <c r="AP66" s="42"/>
      <c r="AQ66" s="42"/>
      <c r="AR66" s="42"/>
      <c r="AS66" s="42"/>
      <c r="AT66" s="42"/>
      <c r="AU66" s="42"/>
      <c r="AV66" s="42"/>
      <c r="AW66" s="42"/>
      <c r="AY66" s="42"/>
      <c r="AZ66" s="42"/>
      <c r="BA66" s="42"/>
      <c r="BB66" s="42"/>
      <c r="BC66" s="42"/>
      <c r="BD66" s="42"/>
      <c r="BE66" s="42"/>
      <c r="BF66" s="42"/>
      <c r="BG66" s="42"/>
      <c r="BI66" s="10" t="s">
        <v>117</v>
      </c>
    </row>
    <row r="67" spans="1:61" x14ac:dyDescent="0.2">
      <c r="A67" s="11"/>
      <c r="B67" s="8" t="s">
        <v>208</v>
      </c>
      <c r="C67" s="5" t="s">
        <v>209</v>
      </c>
      <c r="D67" s="54" t="s">
        <v>210</v>
      </c>
      <c r="E67" s="51" t="s">
        <v>211</v>
      </c>
      <c r="F67" s="41">
        <v>0</v>
      </c>
      <c r="G67" s="42">
        <v>0</v>
      </c>
      <c r="H67" s="42">
        <v>0</v>
      </c>
      <c r="I67" s="42">
        <v>0</v>
      </c>
      <c r="K67" s="42">
        <v>0</v>
      </c>
      <c r="L67" s="42">
        <v>0</v>
      </c>
      <c r="M67" s="42">
        <v>0</v>
      </c>
      <c r="N67" s="42">
        <v>0</v>
      </c>
      <c r="O67" s="42">
        <v>0</v>
      </c>
      <c r="P67" s="42">
        <v>0</v>
      </c>
      <c r="Q67" s="42">
        <v>0</v>
      </c>
      <c r="R67" s="42">
        <v>0</v>
      </c>
      <c r="S67" s="42">
        <v>0</v>
      </c>
      <c r="U67" s="42">
        <v>0</v>
      </c>
      <c r="V67" s="42">
        <v>0</v>
      </c>
      <c r="W67" s="42">
        <v>0</v>
      </c>
      <c r="X67" s="42">
        <v>0</v>
      </c>
      <c r="Y67" s="42">
        <v>0</v>
      </c>
      <c r="Z67" s="42">
        <v>0</v>
      </c>
      <c r="AA67" s="42">
        <v>0</v>
      </c>
      <c r="AB67" s="42">
        <v>0</v>
      </c>
      <c r="AC67" s="42">
        <v>0</v>
      </c>
      <c r="AE67" s="42">
        <v>0</v>
      </c>
      <c r="AF67" s="42">
        <v>0</v>
      </c>
      <c r="AG67" s="42">
        <v>0</v>
      </c>
      <c r="AH67" s="42">
        <v>0</v>
      </c>
      <c r="AI67" s="42">
        <v>0</v>
      </c>
      <c r="AJ67" s="42">
        <v>0</v>
      </c>
      <c r="AK67" s="42">
        <v>0</v>
      </c>
      <c r="AL67" s="42">
        <v>0</v>
      </c>
      <c r="AM67" s="42">
        <v>0</v>
      </c>
      <c r="AO67" s="42">
        <v>0</v>
      </c>
      <c r="AP67" s="42">
        <v>0</v>
      </c>
      <c r="AQ67" s="42">
        <v>0</v>
      </c>
      <c r="AR67" s="42">
        <v>0</v>
      </c>
      <c r="AS67" s="42">
        <v>0</v>
      </c>
      <c r="AT67" s="42">
        <v>0</v>
      </c>
      <c r="AU67" s="42">
        <v>0</v>
      </c>
      <c r="AV67" s="42">
        <v>0</v>
      </c>
      <c r="AW67" s="42">
        <v>0</v>
      </c>
      <c r="AY67" s="42">
        <v>0</v>
      </c>
      <c r="AZ67" s="42">
        <v>0</v>
      </c>
      <c r="BA67" s="42">
        <v>0</v>
      </c>
      <c r="BB67" s="42">
        <v>0</v>
      </c>
      <c r="BC67" s="42">
        <v>0</v>
      </c>
      <c r="BD67" s="42">
        <v>0</v>
      </c>
      <c r="BE67" s="42">
        <v>0</v>
      </c>
      <c r="BF67" s="42">
        <v>0</v>
      </c>
      <c r="BG67" s="42">
        <v>0</v>
      </c>
      <c r="BI67" s="10" t="s">
        <v>117</v>
      </c>
    </row>
    <row r="68" spans="1:61" x14ac:dyDescent="0.2">
      <c r="A68" s="11"/>
      <c r="B68" s="8" t="s">
        <v>212</v>
      </c>
      <c r="C68" s="5" t="s">
        <v>213</v>
      </c>
      <c r="D68" s="54" t="s">
        <v>214</v>
      </c>
      <c r="E68" s="51" t="s">
        <v>215</v>
      </c>
      <c r="F68" s="41">
        <v>0</v>
      </c>
      <c r="G68" s="42">
        <v>0</v>
      </c>
      <c r="H68" s="42">
        <v>0</v>
      </c>
      <c r="I68" s="42">
        <v>0</v>
      </c>
      <c r="K68" s="42">
        <v>0</v>
      </c>
      <c r="L68" s="42">
        <v>0</v>
      </c>
      <c r="M68" s="42">
        <v>173.398</v>
      </c>
      <c r="N68" s="42">
        <v>226.77799999999999</v>
      </c>
      <c r="O68" s="42">
        <v>235.316</v>
      </c>
      <c r="P68" s="42">
        <v>240.02500000000001</v>
      </c>
      <c r="Q68" s="42">
        <v>242.429</v>
      </c>
      <c r="R68" s="42">
        <v>249.25700000000001</v>
      </c>
      <c r="S68" s="42">
        <v>259.23899999999998</v>
      </c>
      <c r="U68" s="42">
        <v>0</v>
      </c>
      <c r="V68" s="42">
        <v>0</v>
      </c>
      <c r="W68" s="42">
        <v>159.44499999999999</v>
      </c>
      <c r="X68" s="42">
        <v>203.58799999999999</v>
      </c>
      <c r="Y68" s="42">
        <v>200.42599999999999</v>
      </c>
      <c r="Z68" s="42">
        <v>195.702</v>
      </c>
      <c r="AA68" s="42">
        <v>189.97399999999999</v>
      </c>
      <c r="AB68" s="42">
        <v>187.42099999999999</v>
      </c>
      <c r="AC68" s="42">
        <v>186.11500000000001</v>
      </c>
      <c r="AE68" s="42">
        <v>0</v>
      </c>
      <c r="AF68" s="42">
        <v>0</v>
      </c>
      <c r="AG68" s="42">
        <v>173.398</v>
      </c>
      <c r="AH68" s="42">
        <v>226.77799999999999</v>
      </c>
      <c r="AI68" s="42">
        <v>235.316</v>
      </c>
      <c r="AJ68" s="42">
        <v>240.02500000000001</v>
      </c>
      <c r="AK68" s="42">
        <v>242.429</v>
      </c>
      <c r="AL68" s="42">
        <v>249.25700000000001</v>
      </c>
      <c r="AM68" s="42">
        <v>259.23899999999998</v>
      </c>
      <c r="AO68" s="42">
        <v>0</v>
      </c>
      <c r="AP68" s="42">
        <v>0</v>
      </c>
      <c r="AQ68" s="42">
        <v>170.75399999999999</v>
      </c>
      <c r="AR68" s="42">
        <v>221.78100000000001</v>
      </c>
      <c r="AS68" s="42">
        <v>225.17</v>
      </c>
      <c r="AT68" s="42">
        <v>225.38399999999999</v>
      </c>
      <c r="AU68" s="42">
        <v>223.57599999999999</v>
      </c>
      <c r="AV68" s="42">
        <v>225.55099999999999</v>
      </c>
      <c r="AW68" s="42">
        <v>229.982</v>
      </c>
      <c r="AY68" s="42">
        <v>0</v>
      </c>
      <c r="AZ68" s="42">
        <v>0</v>
      </c>
      <c r="BA68" s="42">
        <v>159.36199999999999</v>
      </c>
      <c r="BB68" s="42">
        <v>204.709</v>
      </c>
      <c r="BC68" s="42">
        <v>202.48699999999999</v>
      </c>
      <c r="BD68" s="42">
        <v>198.375</v>
      </c>
      <c r="BE68" s="42">
        <v>192.27099999999999</v>
      </c>
      <c r="BF68" s="42">
        <v>189.60400000000001</v>
      </c>
      <c r="BG68" s="42">
        <v>189.11699999999999</v>
      </c>
      <c r="BI68" s="10" t="s">
        <v>117</v>
      </c>
    </row>
    <row r="69" spans="1:61" x14ac:dyDescent="0.2">
      <c r="A69" s="11"/>
      <c r="B69" s="8"/>
      <c r="D69" s="54" t="s">
        <v>57</v>
      </c>
    </row>
    <row r="70" spans="1:61" x14ac:dyDescent="0.2">
      <c r="A70" s="11"/>
      <c r="B70" s="8"/>
      <c r="D70" s="54" t="s">
        <v>57</v>
      </c>
      <c r="E70" s="35" t="s">
        <v>216</v>
      </c>
    </row>
    <row r="71" spans="1:61" x14ac:dyDescent="0.2">
      <c r="A71" s="11"/>
      <c r="B71" s="8" t="s">
        <v>217</v>
      </c>
      <c r="C71" s="5" t="s">
        <v>218</v>
      </c>
      <c r="D71" s="54" t="s">
        <v>219</v>
      </c>
      <c r="E71" s="12" t="s">
        <v>220</v>
      </c>
      <c r="F71" s="41"/>
      <c r="G71" s="42"/>
      <c r="H71" s="42"/>
      <c r="I71" s="42"/>
      <c r="K71" s="42"/>
      <c r="L71" s="42"/>
      <c r="M71" s="42"/>
      <c r="N71" s="42"/>
      <c r="O71" s="42"/>
      <c r="P71" s="42"/>
      <c r="Q71" s="42"/>
      <c r="R71" s="42"/>
      <c r="S71" s="42"/>
      <c r="U71" s="42"/>
      <c r="V71" s="42"/>
      <c r="W71" s="42"/>
      <c r="X71" s="42"/>
      <c r="Y71" s="42"/>
      <c r="Z71" s="42"/>
      <c r="AA71" s="42"/>
      <c r="AB71" s="42"/>
      <c r="AC71" s="42"/>
      <c r="AE71" s="42"/>
      <c r="AF71" s="42"/>
      <c r="AG71" s="42"/>
      <c r="AH71" s="42"/>
      <c r="AI71" s="42"/>
      <c r="AJ71" s="42"/>
      <c r="AK71" s="42"/>
      <c r="AL71" s="42"/>
      <c r="AM71" s="42"/>
      <c r="AO71" s="42"/>
      <c r="AP71" s="42"/>
      <c r="AQ71" s="42"/>
      <c r="AR71" s="42"/>
      <c r="AS71" s="42"/>
      <c r="AT71" s="42"/>
      <c r="AU71" s="42"/>
      <c r="AV71" s="42"/>
      <c r="AW71" s="42"/>
      <c r="AY71" s="42"/>
      <c r="AZ71" s="42"/>
      <c r="BA71" s="42"/>
      <c r="BB71" s="42"/>
      <c r="BC71" s="42"/>
      <c r="BD71" s="42"/>
      <c r="BE71" s="42"/>
      <c r="BF71" s="42"/>
      <c r="BG71" s="42"/>
      <c r="BI71" s="10" t="s">
        <v>117</v>
      </c>
    </row>
    <row r="72" spans="1:61" x14ac:dyDescent="0.2">
      <c r="A72" s="11"/>
      <c r="B72" s="8" t="s">
        <v>221</v>
      </c>
      <c r="C72" s="5" t="s">
        <v>222</v>
      </c>
      <c r="D72" s="54" t="s">
        <v>223</v>
      </c>
      <c r="E72" s="12" t="s">
        <v>224</v>
      </c>
      <c r="F72" s="41"/>
      <c r="G72" s="42"/>
      <c r="H72" s="42"/>
      <c r="I72" s="42"/>
      <c r="K72" s="42"/>
      <c r="L72" s="42"/>
      <c r="M72" s="42"/>
      <c r="N72" s="42"/>
      <c r="O72" s="42"/>
      <c r="P72" s="42"/>
      <c r="Q72" s="42"/>
      <c r="R72" s="42"/>
      <c r="S72" s="42"/>
      <c r="U72" s="42"/>
      <c r="V72" s="42"/>
      <c r="W72" s="42"/>
      <c r="X72" s="42"/>
      <c r="Y72" s="42"/>
      <c r="Z72" s="42"/>
      <c r="AA72" s="42"/>
      <c r="AB72" s="42"/>
      <c r="AC72" s="42"/>
      <c r="AE72" s="42"/>
      <c r="AF72" s="42"/>
      <c r="AG72" s="42"/>
      <c r="AH72" s="42"/>
      <c r="AI72" s="42"/>
      <c r="AJ72" s="42"/>
      <c r="AK72" s="42"/>
      <c r="AL72" s="42"/>
      <c r="AM72" s="42"/>
      <c r="AO72" s="42"/>
      <c r="AP72" s="42"/>
      <c r="AQ72" s="42"/>
      <c r="AR72" s="42"/>
      <c r="AS72" s="42"/>
      <c r="AT72" s="42"/>
      <c r="AU72" s="42"/>
      <c r="AV72" s="42"/>
      <c r="AW72" s="42"/>
      <c r="AY72" s="42"/>
      <c r="AZ72" s="42"/>
      <c r="BA72" s="42"/>
      <c r="BB72" s="42"/>
      <c r="BC72" s="42"/>
      <c r="BD72" s="42"/>
      <c r="BE72" s="42"/>
      <c r="BF72" s="42"/>
      <c r="BG72" s="42"/>
      <c r="BI72" s="10" t="s">
        <v>117</v>
      </c>
    </row>
    <row r="73" spans="1:61" x14ac:dyDescent="0.2">
      <c r="A73" s="11"/>
      <c r="B73" s="8" t="s">
        <v>225</v>
      </c>
      <c r="C73" s="5" t="s">
        <v>226</v>
      </c>
      <c r="D73" s="54" t="s">
        <v>227</v>
      </c>
      <c r="E73" s="12" t="s">
        <v>228</v>
      </c>
      <c r="F73" s="41"/>
      <c r="G73" s="42"/>
      <c r="H73" s="42"/>
      <c r="I73" s="42"/>
      <c r="K73" s="42"/>
      <c r="L73" s="42"/>
      <c r="M73" s="42"/>
      <c r="N73" s="42"/>
      <c r="O73" s="42"/>
      <c r="P73" s="42"/>
      <c r="Q73" s="42"/>
      <c r="R73" s="42"/>
      <c r="S73" s="42"/>
      <c r="U73" s="42"/>
      <c r="V73" s="42"/>
      <c r="W73" s="42"/>
      <c r="X73" s="42"/>
      <c r="Y73" s="42"/>
      <c r="Z73" s="42"/>
      <c r="AA73" s="42"/>
      <c r="AB73" s="42"/>
      <c r="AC73" s="42"/>
      <c r="AE73" s="42"/>
      <c r="AF73" s="42"/>
      <c r="AG73" s="42"/>
      <c r="AH73" s="42"/>
      <c r="AI73" s="42"/>
      <c r="AJ73" s="42"/>
      <c r="AK73" s="42"/>
      <c r="AL73" s="42"/>
      <c r="AM73" s="42"/>
      <c r="AO73" s="42"/>
      <c r="AP73" s="42"/>
      <c r="AQ73" s="42"/>
      <c r="AR73" s="42"/>
      <c r="AS73" s="42"/>
      <c r="AT73" s="42"/>
      <c r="AU73" s="42"/>
      <c r="AV73" s="42"/>
      <c r="AW73" s="42"/>
      <c r="AY73" s="42"/>
      <c r="AZ73" s="42"/>
      <c r="BA73" s="42"/>
      <c r="BB73" s="42"/>
      <c r="BC73" s="42"/>
      <c r="BD73" s="42"/>
      <c r="BE73" s="42"/>
      <c r="BF73" s="42"/>
      <c r="BG73" s="42"/>
      <c r="BI73" s="10" t="s">
        <v>117</v>
      </c>
    </row>
    <row r="74" spans="1:61" x14ac:dyDescent="0.2">
      <c r="A74" s="11"/>
      <c r="B74" s="8" t="s">
        <v>229</v>
      </c>
      <c r="C74" s="5" t="s">
        <v>230</v>
      </c>
      <c r="D74" s="54" t="s">
        <v>231</v>
      </c>
      <c r="E74" s="12" t="s">
        <v>232</v>
      </c>
      <c r="F74" s="41">
        <v>0</v>
      </c>
      <c r="G74" s="42">
        <v>0</v>
      </c>
      <c r="H74" s="42">
        <v>0</v>
      </c>
      <c r="I74" s="42">
        <v>0</v>
      </c>
      <c r="K74" s="42">
        <v>0</v>
      </c>
      <c r="L74" s="42">
        <v>0</v>
      </c>
      <c r="M74" s="42">
        <v>0</v>
      </c>
      <c r="N74" s="42">
        <v>0</v>
      </c>
      <c r="O74" s="42">
        <v>0</v>
      </c>
      <c r="P74" s="42">
        <v>0</v>
      </c>
      <c r="Q74" s="42">
        <v>0</v>
      </c>
      <c r="R74" s="42">
        <v>0</v>
      </c>
      <c r="S74" s="42">
        <v>0</v>
      </c>
      <c r="U74" s="42">
        <v>0</v>
      </c>
      <c r="V74" s="42">
        <v>0</v>
      </c>
      <c r="W74" s="42">
        <v>0</v>
      </c>
      <c r="X74" s="42">
        <v>0</v>
      </c>
      <c r="Y74" s="42">
        <v>0</v>
      </c>
      <c r="Z74" s="42">
        <v>0</v>
      </c>
      <c r="AA74" s="42">
        <v>0</v>
      </c>
      <c r="AB74" s="42">
        <v>0</v>
      </c>
      <c r="AC74" s="42">
        <v>0</v>
      </c>
      <c r="AE74" s="42">
        <v>0</v>
      </c>
      <c r="AF74" s="42">
        <v>0</v>
      </c>
      <c r="AG74" s="42">
        <v>0</v>
      </c>
      <c r="AH74" s="42">
        <v>0</v>
      </c>
      <c r="AI74" s="42">
        <v>0</v>
      </c>
      <c r="AJ74" s="42">
        <v>0</v>
      </c>
      <c r="AK74" s="42">
        <v>0</v>
      </c>
      <c r="AL74" s="42">
        <v>0</v>
      </c>
      <c r="AM74" s="42">
        <v>0</v>
      </c>
      <c r="AO74" s="42">
        <v>0</v>
      </c>
      <c r="AP74" s="42">
        <v>0</v>
      </c>
      <c r="AQ74" s="42">
        <v>0</v>
      </c>
      <c r="AR74" s="42">
        <v>0</v>
      </c>
      <c r="AS74" s="42">
        <v>0</v>
      </c>
      <c r="AT74" s="42">
        <v>0</v>
      </c>
      <c r="AU74" s="42">
        <v>0</v>
      </c>
      <c r="AV74" s="42">
        <v>0</v>
      </c>
      <c r="AW74" s="42">
        <v>0</v>
      </c>
      <c r="AY74" s="42">
        <v>0</v>
      </c>
      <c r="AZ74" s="42">
        <v>0</v>
      </c>
      <c r="BA74" s="42">
        <v>0</v>
      </c>
      <c r="BB74" s="42">
        <v>0</v>
      </c>
      <c r="BC74" s="42">
        <v>0</v>
      </c>
      <c r="BD74" s="42">
        <v>0</v>
      </c>
      <c r="BE74" s="42">
        <v>0</v>
      </c>
      <c r="BF74" s="42">
        <v>0</v>
      </c>
      <c r="BG74" s="42">
        <v>0</v>
      </c>
      <c r="BI74" s="10" t="s">
        <v>117</v>
      </c>
    </row>
    <row r="75" spans="1:61" x14ac:dyDescent="0.2">
      <c r="A75" s="11"/>
      <c r="B75" s="8" t="s">
        <v>233</v>
      </c>
      <c r="C75" s="5" t="s">
        <v>234</v>
      </c>
      <c r="D75" s="54" t="s">
        <v>235</v>
      </c>
      <c r="E75" s="12" t="s">
        <v>236</v>
      </c>
      <c r="F75" s="41"/>
      <c r="G75" s="42"/>
      <c r="H75" s="42"/>
      <c r="I75" s="42"/>
      <c r="K75" s="42"/>
      <c r="L75" s="42"/>
      <c r="M75" s="42"/>
      <c r="N75" s="42"/>
      <c r="O75" s="42"/>
      <c r="P75" s="42"/>
      <c r="Q75" s="42"/>
      <c r="R75" s="42"/>
      <c r="S75" s="42"/>
      <c r="U75" s="42"/>
      <c r="V75" s="42"/>
      <c r="W75" s="42"/>
      <c r="X75" s="42"/>
      <c r="Y75" s="42"/>
      <c r="Z75" s="42"/>
      <c r="AA75" s="42"/>
      <c r="AB75" s="42"/>
      <c r="AC75" s="42"/>
      <c r="AE75" s="42"/>
      <c r="AF75" s="42"/>
      <c r="AG75" s="42"/>
      <c r="AH75" s="42"/>
      <c r="AI75" s="42"/>
      <c r="AJ75" s="42"/>
      <c r="AK75" s="42"/>
      <c r="AL75" s="42"/>
      <c r="AM75" s="42"/>
      <c r="AO75" s="42"/>
      <c r="AP75" s="42"/>
      <c r="AQ75" s="42"/>
      <c r="AR75" s="42"/>
      <c r="AS75" s="42"/>
      <c r="AT75" s="42"/>
      <c r="AU75" s="42"/>
      <c r="AV75" s="42"/>
      <c r="AW75" s="42"/>
      <c r="AY75" s="42"/>
      <c r="AZ75" s="42"/>
      <c r="BA75" s="42"/>
      <c r="BB75" s="42"/>
      <c r="BC75" s="42"/>
      <c r="BD75" s="42"/>
      <c r="BE75" s="42"/>
      <c r="BF75" s="42"/>
      <c r="BG75" s="42"/>
      <c r="BI75" s="10" t="s">
        <v>117</v>
      </c>
    </row>
    <row r="76" spans="1:61" x14ac:dyDescent="0.2">
      <c r="A76" s="11"/>
      <c r="B76" s="8" t="s">
        <v>237</v>
      </c>
      <c r="C76" s="5" t="s">
        <v>238</v>
      </c>
      <c r="D76" s="54" t="s">
        <v>239</v>
      </c>
      <c r="E76" s="12" t="s">
        <v>216</v>
      </c>
      <c r="F76" s="41">
        <v>0</v>
      </c>
      <c r="G76" s="42">
        <v>0</v>
      </c>
      <c r="H76" s="42">
        <v>0</v>
      </c>
      <c r="I76" s="42">
        <v>0</v>
      </c>
      <c r="K76" s="42">
        <v>0</v>
      </c>
      <c r="L76" s="42">
        <v>0</v>
      </c>
      <c r="M76" s="42">
        <v>0</v>
      </c>
      <c r="N76" s="42">
        <v>0</v>
      </c>
      <c r="O76" s="42">
        <v>0</v>
      </c>
      <c r="P76" s="42">
        <v>0</v>
      </c>
      <c r="Q76" s="42">
        <v>0</v>
      </c>
      <c r="R76" s="42">
        <v>0</v>
      </c>
      <c r="S76" s="42">
        <v>0</v>
      </c>
      <c r="U76" s="42">
        <v>0</v>
      </c>
      <c r="V76" s="42">
        <v>0</v>
      </c>
      <c r="W76" s="42">
        <v>0</v>
      </c>
      <c r="X76" s="42">
        <v>0</v>
      </c>
      <c r="Y76" s="42">
        <v>0</v>
      </c>
      <c r="Z76" s="42">
        <v>0</v>
      </c>
      <c r="AA76" s="42">
        <v>0</v>
      </c>
      <c r="AB76" s="42">
        <v>0</v>
      </c>
      <c r="AC76" s="42">
        <v>0</v>
      </c>
      <c r="AE76" s="42">
        <v>0</v>
      </c>
      <c r="AF76" s="42">
        <v>0</v>
      </c>
      <c r="AG76" s="42">
        <v>0</v>
      </c>
      <c r="AH76" s="42">
        <v>0</v>
      </c>
      <c r="AI76" s="42">
        <v>0</v>
      </c>
      <c r="AJ76" s="42">
        <v>0</v>
      </c>
      <c r="AK76" s="42">
        <v>0</v>
      </c>
      <c r="AL76" s="42">
        <v>0</v>
      </c>
      <c r="AM76" s="42">
        <v>0</v>
      </c>
      <c r="AO76" s="42">
        <v>0</v>
      </c>
      <c r="AP76" s="42">
        <v>0</v>
      </c>
      <c r="AQ76" s="42">
        <v>0</v>
      </c>
      <c r="AR76" s="42">
        <v>0</v>
      </c>
      <c r="AS76" s="42">
        <v>0</v>
      </c>
      <c r="AT76" s="42">
        <v>0</v>
      </c>
      <c r="AU76" s="42">
        <v>0</v>
      </c>
      <c r="AV76" s="42">
        <v>0</v>
      </c>
      <c r="AW76" s="42">
        <v>0</v>
      </c>
      <c r="AY76" s="42">
        <v>0</v>
      </c>
      <c r="AZ76" s="42">
        <v>0</v>
      </c>
      <c r="BA76" s="42">
        <v>0</v>
      </c>
      <c r="BB76" s="42">
        <v>0</v>
      </c>
      <c r="BC76" s="42">
        <v>0</v>
      </c>
      <c r="BD76" s="42">
        <v>0</v>
      </c>
      <c r="BE76" s="42">
        <v>0</v>
      </c>
      <c r="BF76" s="42">
        <v>0</v>
      </c>
      <c r="BG76" s="42">
        <v>0</v>
      </c>
      <c r="BI76" s="10" t="s">
        <v>117</v>
      </c>
    </row>
    <row r="77" spans="1:61" x14ac:dyDescent="0.2">
      <c r="A77" s="11"/>
      <c r="B77" s="8"/>
      <c r="D77" s="54" t="s">
        <v>57</v>
      </c>
    </row>
    <row r="78" spans="1:61" x14ac:dyDescent="0.2">
      <c r="A78" s="11"/>
      <c r="B78" s="8"/>
      <c r="D78" s="54" t="s">
        <v>57</v>
      </c>
      <c r="E78" s="35" t="s">
        <v>240</v>
      </c>
    </row>
    <row r="79" spans="1:61" x14ac:dyDescent="0.2">
      <c r="A79" s="11"/>
      <c r="B79" s="8" t="s">
        <v>241</v>
      </c>
      <c r="C79" s="5" t="s">
        <v>242</v>
      </c>
      <c r="D79" s="54" t="s">
        <v>243</v>
      </c>
      <c r="E79" s="12" t="s">
        <v>244</v>
      </c>
      <c r="F79" s="41">
        <v>0</v>
      </c>
      <c r="G79" s="42">
        <v>0</v>
      </c>
      <c r="H79" s="42">
        <v>0</v>
      </c>
      <c r="I79" s="42">
        <v>0</v>
      </c>
      <c r="K79" s="42">
        <v>0</v>
      </c>
      <c r="L79" s="42">
        <v>0</v>
      </c>
      <c r="M79" s="42">
        <v>173.398</v>
      </c>
      <c r="N79" s="42">
        <v>226.77799999999999</v>
      </c>
      <c r="O79" s="42">
        <v>235.316</v>
      </c>
      <c r="P79" s="42">
        <v>240.02500000000001</v>
      </c>
      <c r="Q79" s="42">
        <v>242.429</v>
      </c>
      <c r="R79" s="42">
        <v>249.25700000000001</v>
      </c>
      <c r="S79" s="42">
        <v>259.23899999999998</v>
      </c>
      <c r="U79" s="42">
        <v>0</v>
      </c>
      <c r="V79" s="42">
        <v>0</v>
      </c>
      <c r="W79" s="42">
        <v>159.44499999999999</v>
      </c>
      <c r="X79" s="42">
        <v>203.58799999999999</v>
      </c>
      <c r="Y79" s="42">
        <v>200.42599999999999</v>
      </c>
      <c r="Z79" s="42">
        <v>195.702</v>
      </c>
      <c r="AA79" s="42">
        <v>189.97399999999999</v>
      </c>
      <c r="AB79" s="42">
        <v>187.42099999999999</v>
      </c>
      <c r="AC79" s="42">
        <v>186.11500000000001</v>
      </c>
      <c r="AE79" s="42">
        <v>0</v>
      </c>
      <c r="AF79" s="42">
        <v>0</v>
      </c>
      <c r="AG79" s="42">
        <v>173.398</v>
      </c>
      <c r="AH79" s="42">
        <v>226.77799999999999</v>
      </c>
      <c r="AI79" s="42">
        <v>235.316</v>
      </c>
      <c r="AJ79" s="42">
        <v>240.02500000000001</v>
      </c>
      <c r="AK79" s="42">
        <v>242.429</v>
      </c>
      <c r="AL79" s="42">
        <v>249.25700000000001</v>
      </c>
      <c r="AM79" s="42">
        <v>259.23899999999998</v>
      </c>
      <c r="AO79" s="42">
        <v>0</v>
      </c>
      <c r="AP79" s="42">
        <v>0</v>
      </c>
      <c r="AQ79" s="42">
        <v>170.75399999999999</v>
      </c>
      <c r="AR79" s="42">
        <v>221.78100000000001</v>
      </c>
      <c r="AS79" s="42">
        <v>225.17</v>
      </c>
      <c r="AT79" s="42">
        <v>225.38399999999999</v>
      </c>
      <c r="AU79" s="42">
        <v>223.57599999999999</v>
      </c>
      <c r="AV79" s="42">
        <v>225.55099999999999</v>
      </c>
      <c r="AW79" s="42">
        <v>229.982</v>
      </c>
      <c r="AY79" s="42">
        <v>0</v>
      </c>
      <c r="AZ79" s="42">
        <v>0</v>
      </c>
      <c r="BA79" s="42">
        <v>159.36199999999999</v>
      </c>
      <c r="BB79" s="42">
        <v>204.709</v>
      </c>
      <c r="BC79" s="42">
        <v>202.48699999999999</v>
      </c>
      <c r="BD79" s="42">
        <v>198.375</v>
      </c>
      <c r="BE79" s="42">
        <v>192.27099999999999</v>
      </c>
      <c r="BF79" s="42">
        <v>189.60400000000001</v>
      </c>
      <c r="BG79" s="42">
        <v>189.11699999999999</v>
      </c>
      <c r="BI79" s="10" t="s">
        <v>117</v>
      </c>
    </row>
    <row r="80" spans="1:61" x14ac:dyDescent="0.2">
      <c r="A80" s="11"/>
      <c r="B80" s="8"/>
      <c r="D80" s="54" t="s">
        <v>57</v>
      </c>
    </row>
    <row r="81" spans="1:61" x14ac:dyDescent="0.2">
      <c r="A81" s="11"/>
      <c r="B81" s="8"/>
      <c r="D81" s="54" t="s">
        <v>57</v>
      </c>
      <c r="E81" s="35" t="s">
        <v>245</v>
      </c>
    </row>
    <row r="82" spans="1:61" x14ac:dyDescent="0.2">
      <c r="A82" s="11"/>
      <c r="B82" s="8" t="s">
        <v>246</v>
      </c>
      <c r="C82" s="5" t="s">
        <v>247</v>
      </c>
      <c r="D82" s="54" t="s">
        <v>248</v>
      </c>
      <c r="E82" s="12" t="s">
        <v>249</v>
      </c>
      <c r="F82" s="41"/>
      <c r="G82" s="42"/>
      <c r="H82" s="42"/>
      <c r="I82" s="42"/>
      <c r="K82" s="42"/>
      <c r="L82" s="42"/>
      <c r="M82" s="42"/>
      <c r="N82" s="42"/>
      <c r="O82" s="42"/>
      <c r="P82" s="42"/>
      <c r="Q82" s="42"/>
      <c r="R82" s="42"/>
      <c r="S82" s="42"/>
      <c r="U82" s="42"/>
      <c r="V82" s="42"/>
      <c r="W82" s="42"/>
      <c r="X82" s="42"/>
      <c r="Y82" s="42"/>
      <c r="Z82" s="42"/>
      <c r="AA82" s="42"/>
      <c r="AB82" s="42"/>
      <c r="AC82" s="42"/>
      <c r="AE82" s="42"/>
      <c r="AF82" s="42"/>
      <c r="AG82" s="42"/>
      <c r="AH82" s="42"/>
      <c r="AI82" s="42"/>
      <c r="AJ82" s="42"/>
      <c r="AK82" s="42"/>
      <c r="AL82" s="42"/>
      <c r="AM82" s="42"/>
      <c r="AO82" s="42"/>
      <c r="AP82" s="42"/>
      <c r="AQ82" s="42"/>
      <c r="AR82" s="42"/>
      <c r="AS82" s="42"/>
      <c r="AT82" s="42"/>
      <c r="AU82" s="42"/>
      <c r="AV82" s="42"/>
      <c r="AW82" s="42"/>
      <c r="AY82" s="42"/>
      <c r="AZ82" s="42"/>
      <c r="BA82" s="42"/>
      <c r="BB82" s="42"/>
      <c r="BC82" s="42"/>
      <c r="BD82" s="42"/>
      <c r="BE82" s="42"/>
      <c r="BF82" s="42"/>
      <c r="BG82" s="42"/>
      <c r="BI82" s="10" t="s">
        <v>117</v>
      </c>
    </row>
    <row r="83" spans="1:61" x14ac:dyDescent="0.2">
      <c r="A83" s="11"/>
      <c r="B83" s="8" t="s">
        <v>250</v>
      </c>
      <c r="C83" s="5" t="s">
        <v>251</v>
      </c>
      <c r="D83" s="54" t="s">
        <v>252</v>
      </c>
      <c r="E83" s="12" t="s">
        <v>253</v>
      </c>
      <c r="F83" s="41"/>
      <c r="G83" s="42"/>
      <c r="H83" s="42"/>
      <c r="I83" s="42"/>
      <c r="K83" s="42"/>
      <c r="L83" s="42"/>
      <c r="M83" s="42"/>
      <c r="N83" s="42"/>
      <c r="O83" s="42"/>
      <c r="P83" s="42"/>
      <c r="Q83" s="42"/>
      <c r="R83" s="42"/>
      <c r="S83" s="42"/>
      <c r="U83" s="42"/>
      <c r="V83" s="42"/>
      <c r="W83" s="42"/>
      <c r="X83" s="42"/>
      <c r="Y83" s="42"/>
      <c r="Z83" s="42"/>
      <c r="AA83" s="42"/>
      <c r="AB83" s="42"/>
      <c r="AC83" s="42"/>
      <c r="AE83" s="42"/>
      <c r="AF83" s="42"/>
      <c r="AG83" s="42"/>
      <c r="AH83" s="42"/>
      <c r="AI83" s="42"/>
      <c r="AJ83" s="42"/>
      <c r="AK83" s="42"/>
      <c r="AL83" s="42"/>
      <c r="AM83" s="42"/>
      <c r="AO83" s="42"/>
      <c r="AP83" s="42"/>
      <c r="AQ83" s="42"/>
      <c r="AR83" s="42"/>
      <c r="AS83" s="42"/>
      <c r="AT83" s="42"/>
      <c r="AU83" s="42"/>
      <c r="AV83" s="42"/>
      <c r="AW83" s="42"/>
      <c r="AY83" s="42"/>
      <c r="AZ83" s="42"/>
      <c r="BA83" s="42"/>
      <c r="BB83" s="42"/>
      <c r="BC83" s="42"/>
      <c r="BD83" s="42"/>
      <c r="BE83" s="42"/>
      <c r="BF83" s="42"/>
      <c r="BG83" s="42"/>
      <c r="BI83" s="10" t="s">
        <v>117</v>
      </c>
    </row>
    <row r="84" spans="1:61" x14ac:dyDescent="0.2">
      <c r="A84" s="11"/>
      <c r="B84" s="8" t="s">
        <v>254</v>
      </c>
      <c r="C84" s="5" t="s">
        <v>255</v>
      </c>
      <c r="D84" s="54" t="s">
        <v>256</v>
      </c>
      <c r="E84" s="12" t="s">
        <v>257</v>
      </c>
      <c r="F84" s="41"/>
      <c r="G84" s="42"/>
      <c r="H84" s="42"/>
      <c r="I84" s="42"/>
      <c r="K84" s="42"/>
      <c r="L84" s="42"/>
      <c r="M84" s="42"/>
      <c r="N84" s="42"/>
      <c r="O84" s="42"/>
      <c r="P84" s="42"/>
      <c r="Q84" s="42"/>
      <c r="R84" s="42"/>
      <c r="S84" s="42"/>
      <c r="U84" s="42"/>
      <c r="V84" s="42"/>
      <c r="W84" s="42"/>
      <c r="X84" s="42"/>
      <c r="Y84" s="42"/>
      <c r="Z84" s="42"/>
      <c r="AA84" s="42"/>
      <c r="AB84" s="42"/>
      <c r="AC84" s="42"/>
      <c r="AE84" s="42"/>
      <c r="AF84" s="42"/>
      <c r="AG84" s="42"/>
      <c r="AH84" s="42"/>
      <c r="AI84" s="42"/>
      <c r="AJ84" s="42"/>
      <c r="AK84" s="42"/>
      <c r="AL84" s="42"/>
      <c r="AM84" s="42"/>
      <c r="AO84" s="42"/>
      <c r="AP84" s="42"/>
      <c r="AQ84" s="42"/>
      <c r="AR84" s="42"/>
      <c r="AS84" s="42"/>
      <c r="AT84" s="42"/>
      <c r="AU84" s="42"/>
      <c r="AV84" s="42"/>
      <c r="AW84" s="42"/>
      <c r="AY84" s="42"/>
      <c r="AZ84" s="42"/>
      <c r="BA84" s="42"/>
      <c r="BB84" s="42"/>
      <c r="BC84" s="42"/>
      <c r="BD84" s="42"/>
      <c r="BE84" s="42"/>
      <c r="BF84" s="42"/>
      <c r="BG84" s="42"/>
      <c r="BI84" s="10" t="s">
        <v>117</v>
      </c>
    </row>
    <row r="85" spans="1:61" x14ac:dyDescent="0.2">
      <c r="A85" s="11"/>
      <c r="B85" s="8" t="s">
        <v>258</v>
      </c>
      <c r="C85" s="5" t="s">
        <v>259</v>
      </c>
      <c r="D85" s="54" t="s">
        <v>260</v>
      </c>
      <c r="E85" s="12" t="s">
        <v>261</v>
      </c>
      <c r="F85" s="41"/>
      <c r="G85" s="42"/>
      <c r="H85" s="42"/>
      <c r="I85" s="42"/>
      <c r="K85" s="42"/>
      <c r="L85" s="42"/>
      <c r="M85" s="42"/>
      <c r="N85" s="42"/>
      <c r="O85" s="42"/>
      <c r="P85" s="42"/>
      <c r="Q85" s="42"/>
      <c r="R85" s="42"/>
      <c r="S85" s="42"/>
      <c r="U85" s="42"/>
      <c r="V85" s="42"/>
      <c r="W85" s="42"/>
      <c r="X85" s="42"/>
      <c r="Y85" s="42"/>
      <c r="Z85" s="42"/>
      <c r="AA85" s="42"/>
      <c r="AB85" s="42"/>
      <c r="AC85" s="42"/>
      <c r="AE85" s="42"/>
      <c r="AF85" s="42"/>
      <c r="AG85" s="42"/>
      <c r="AH85" s="42"/>
      <c r="AI85" s="42"/>
      <c r="AJ85" s="42"/>
      <c r="AK85" s="42"/>
      <c r="AL85" s="42"/>
      <c r="AM85" s="42"/>
      <c r="AO85" s="42"/>
      <c r="AP85" s="42"/>
      <c r="AQ85" s="42"/>
      <c r="AR85" s="42"/>
      <c r="AS85" s="42"/>
      <c r="AT85" s="42"/>
      <c r="AU85" s="42"/>
      <c r="AV85" s="42"/>
      <c r="AW85" s="42"/>
      <c r="AY85" s="42"/>
      <c r="AZ85" s="42"/>
      <c r="BA85" s="42"/>
      <c r="BB85" s="42"/>
      <c r="BC85" s="42"/>
      <c r="BD85" s="42"/>
      <c r="BE85" s="42"/>
      <c r="BF85" s="42"/>
      <c r="BG85" s="42"/>
      <c r="BI85" s="10" t="s">
        <v>117</v>
      </c>
    </row>
    <row r="86" spans="1:61" x14ac:dyDescent="0.2">
      <c r="A86" s="11"/>
      <c r="B86" s="8"/>
      <c r="C86" s="5" t="s">
        <v>262</v>
      </c>
      <c r="D86" s="54" t="s">
        <v>263</v>
      </c>
      <c r="E86" s="12" t="s">
        <v>264</v>
      </c>
      <c r="F86" s="41"/>
      <c r="G86" s="42"/>
      <c r="H86" s="42"/>
      <c r="I86" s="42"/>
      <c r="K86" s="42"/>
      <c r="L86" s="42"/>
      <c r="M86" s="42"/>
      <c r="N86" s="42"/>
      <c r="O86" s="42"/>
      <c r="P86" s="42"/>
      <c r="Q86" s="42"/>
      <c r="R86" s="42"/>
      <c r="S86" s="42"/>
      <c r="U86" s="42"/>
      <c r="V86" s="42"/>
      <c r="W86" s="42"/>
      <c r="X86" s="42"/>
      <c r="Y86" s="42"/>
      <c r="Z86" s="42"/>
      <c r="AA86" s="42"/>
      <c r="AB86" s="42"/>
      <c r="AC86" s="42"/>
      <c r="AE86" s="42"/>
      <c r="AF86" s="42"/>
      <c r="AG86" s="42"/>
      <c r="AH86" s="42"/>
      <c r="AI86" s="42"/>
      <c r="AJ86" s="42"/>
      <c r="AK86" s="42"/>
      <c r="AL86" s="42"/>
      <c r="AM86" s="42"/>
      <c r="AO86" s="42"/>
      <c r="AP86" s="42"/>
      <c r="AQ86" s="42"/>
      <c r="AR86" s="42"/>
      <c r="AS86" s="42"/>
      <c r="AT86" s="42"/>
      <c r="AU86" s="42"/>
      <c r="AV86" s="42"/>
      <c r="AW86" s="42"/>
      <c r="AY86" s="42"/>
      <c r="AZ86" s="42"/>
      <c r="BA86" s="42"/>
      <c r="BB86" s="42"/>
      <c r="BC86" s="42"/>
      <c r="BD86" s="42"/>
      <c r="BE86" s="42"/>
      <c r="BF86" s="42"/>
      <c r="BG86" s="42"/>
    </row>
    <row r="87" spans="1:61" x14ac:dyDescent="0.2">
      <c r="A87" s="11"/>
      <c r="B87" s="8" t="s">
        <v>265</v>
      </c>
      <c r="C87" s="5" t="s">
        <v>266</v>
      </c>
      <c r="D87" s="54" t="s">
        <v>267</v>
      </c>
      <c r="E87" s="12" t="s">
        <v>268</v>
      </c>
      <c r="F87" s="41"/>
      <c r="G87" s="42"/>
      <c r="H87" s="42"/>
      <c r="I87" s="42"/>
      <c r="K87" s="42"/>
      <c r="L87" s="42"/>
      <c r="M87" s="42"/>
      <c r="N87" s="42"/>
      <c r="O87" s="42"/>
      <c r="P87" s="42"/>
      <c r="Q87" s="42"/>
      <c r="R87" s="42"/>
      <c r="S87" s="42"/>
      <c r="U87" s="42"/>
      <c r="V87" s="42"/>
      <c r="W87" s="42"/>
      <c r="X87" s="42"/>
      <c r="Y87" s="42"/>
      <c r="Z87" s="42"/>
      <c r="AA87" s="42"/>
      <c r="AB87" s="42"/>
      <c r="AC87" s="42"/>
      <c r="AE87" s="42"/>
      <c r="AF87" s="42"/>
      <c r="AG87" s="42"/>
      <c r="AH87" s="42"/>
      <c r="AI87" s="42"/>
      <c r="AJ87" s="42"/>
      <c r="AK87" s="42"/>
      <c r="AL87" s="42"/>
      <c r="AM87" s="42"/>
      <c r="AO87" s="42"/>
      <c r="AP87" s="42"/>
      <c r="AQ87" s="42"/>
      <c r="AR87" s="42"/>
      <c r="AS87" s="42"/>
      <c r="AT87" s="42"/>
      <c r="AU87" s="42"/>
      <c r="AV87" s="42"/>
      <c r="AW87" s="42"/>
      <c r="AY87" s="42"/>
      <c r="AZ87" s="42"/>
      <c r="BA87" s="42"/>
      <c r="BB87" s="42"/>
      <c r="BC87" s="42"/>
      <c r="BD87" s="42"/>
      <c r="BE87" s="42"/>
      <c r="BF87" s="42"/>
      <c r="BG87" s="42"/>
      <c r="BI87" s="10" t="s">
        <v>117</v>
      </c>
    </row>
    <row r="88" spans="1:61" x14ac:dyDescent="0.2">
      <c r="A88" s="11"/>
      <c r="B88" s="8" t="s">
        <v>269</v>
      </c>
      <c r="C88" s="5" t="s">
        <v>270</v>
      </c>
      <c r="D88" s="54" t="s">
        <v>271</v>
      </c>
      <c r="E88" s="12" t="s">
        <v>272</v>
      </c>
      <c r="F88" s="41">
        <v>0</v>
      </c>
      <c r="G88" s="42">
        <v>0</v>
      </c>
      <c r="H88" s="42">
        <v>0</v>
      </c>
      <c r="I88" s="42">
        <v>0</v>
      </c>
      <c r="K88" s="42">
        <v>0</v>
      </c>
      <c r="L88" s="42">
        <v>0</v>
      </c>
      <c r="M88" s="42">
        <v>0</v>
      </c>
      <c r="N88" s="42">
        <v>0</v>
      </c>
      <c r="O88" s="42">
        <v>0</v>
      </c>
      <c r="P88" s="42">
        <v>0</v>
      </c>
      <c r="Q88" s="42">
        <v>0</v>
      </c>
      <c r="R88" s="42">
        <v>0</v>
      </c>
      <c r="S88" s="42">
        <v>0</v>
      </c>
      <c r="U88" s="42">
        <v>0</v>
      </c>
      <c r="V88" s="42">
        <v>0</v>
      </c>
      <c r="W88" s="42">
        <v>0</v>
      </c>
      <c r="X88" s="42">
        <v>0</v>
      </c>
      <c r="Y88" s="42">
        <v>0</v>
      </c>
      <c r="Z88" s="42">
        <v>0</v>
      </c>
      <c r="AA88" s="42">
        <v>0</v>
      </c>
      <c r="AB88" s="42">
        <v>0</v>
      </c>
      <c r="AC88" s="42">
        <v>0</v>
      </c>
      <c r="AE88" s="42">
        <v>0</v>
      </c>
      <c r="AF88" s="42">
        <v>0</v>
      </c>
      <c r="AG88" s="42">
        <v>0</v>
      </c>
      <c r="AH88" s="42">
        <v>0</v>
      </c>
      <c r="AI88" s="42">
        <v>0</v>
      </c>
      <c r="AJ88" s="42">
        <v>0</v>
      </c>
      <c r="AK88" s="42">
        <v>0</v>
      </c>
      <c r="AL88" s="42">
        <v>0</v>
      </c>
      <c r="AM88" s="42">
        <v>0</v>
      </c>
      <c r="AO88" s="42">
        <v>0</v>
      </c>
      <c r="AP88" s="42">
        <v>0</v>
      </c>
      <c r="AQ88" s="42">
        <v>0</v>
      </c>
      <c r="AR88" s="42">
        <v>0</v>
      </c>
      <c r="AS88" s="42">
        <v>0</v>
      </c>
      <c r="AT88" s="42">
        <v>0</v>
      </c>
      <c r="AU88" s="42">
        <v>0</v>
      </c>
      <c r="AV88" s="42">
        <v>0</v>
      </c>
      <c r="AW88" s="42">
        <v>0</v>
      </c>
      <c r="AY88" s="42">
        <v>0</v>
      </c>
      <c r="AZ88" s="42">
        <v>0</v>
      </c>
      <c r="BA88" s="42">
        <v>0</v>
      </c>
      <c r="BB88" s="42">
        <v>0</v>
      </c>
      <c r="BC88" s="42">
        <v>0</v>
      </c>
      <c r="BD88" s="42">
        <v>0</v>
      </c>
      <c r="BE88" s="42">
        <v>0</v>
      </c>
      <c r="BF88" s="42">
        <v>0</v>
      </c>
      <c r="BG88" s="42">
        <v>0</v>
      </c>
      <c r="BI88" s="10" t="s">
        <v>117</v>
      </c>
    </row>
    <row r="89" spans="1:61" x14ac:dyDescent="0.2">
      <c r="B89" s="8"/>
      <c r="C89" s="5" t="s">
        <v>273</v>
      </c>
      <c r="D89" s="54" t="s">
        <v>274</v>
      </c>
      <c r="E89" s="12" t="s">
        <v>275</v>
      </c>
      <c r="F89" s="41"/>
      <c r="G89" s="42"/>
      <c r="H89" s="42"/>
      <c r="I89" s="42"/>
      <c r="K89" s="42"/>
      <c r="L89" s="42"/>
      <c r="M89" s="42"/>
      <c r="N89" s="42"/>
      <c r="O89" s="42"/>
      <c r="P89" s="42"/>
      <c r="Q89" s="42"/>
      <c r="R89" s="42"/>
      <c r="S89" s="42"/>
      <c r="U89" s="42"/>
      <c r="V89" s="42"/>
      <c r="W89" s="42"/>
      <c r="X89" s="42"/>
      <c r="Y89" s="42"/>
      <c r="Z89" s="42"/>
      <c r="AA89" s="42"/>
      <c r="AB89" s="42"/>
      <c r="AC89" s="42"/>
      <c r="AE89" s="42"/>
      <c r="AF89" s="42"/>
      <c r="AG89" s="42"/>
      <c r="AH89" s="42"/>
      <c r="AI89" s="42"/>
      <c r="AJ89" s="42"/>
      <c r="AK89" s="42"/>
      <c r="AL89" s="42"/>
      <c r="AM89" s="42"/>
      <c r="AO89" s="42"/>
      <c r="AP89" s="42"/>
      <c r="AQ89" s="42"/>
      <c r="AR89" s="42"/>
      <c r="AS89" s="42"/>
      <c r="AT89" s="42"/>
      <c r="AU89" s="42"/>
      <c r="AV89" s="42"/>
      <c r="AW89" s="42"/>
      <c r="AY89" s="42"/>
      <c r="AZ89" s="42"/>
      <c r="BA89" s="42"/>
      <c r="BB89" s="42"/>
      <c r="BC89" s="42"/>
      <c r="BD89" s="42"/>
      <c r="BE89" s="42"/>
      <c r="BF89" s="42"/>
      <c r="BG89" s="42"/>
    </row>
    <row r="90" spans="1:61" x14ac:dyDescent="0.2">
      <c r="B90" s="8" t="s">
        <v>276</v>
      </c>
      <c r="C90" s="5" t="s">
        <v>277</v>
      </c>
      <c r="D90" s="54" t="s">
        <v>278</v>
      </c>
      <c r="E90" s="12" t="s">
        <v>279</v>
      </c>
      <c r="F90" s="41"/>
      <c r="G90" s="42"/>
      <c r="H90" s="42"/>
      <c r="I90" s="42"/>
      <c r="K90" s="42"/>
      <c r="L90" s="42"/>
      <c r="M90" s="42"/>
      <c r="N90" s="42"/>
      <c r="O90" s="42"/>
      <c r="P90" s="42"/>
      <c r="Q90" s="42"/>
      <c r="R90" s="42"/>
      <c r="S90" s="42"/>
      <c r="U90" s="42"/>
      <c r="V90" s="42"/>
      <c r="W90" s="42"/>
      <c r="X90" s="42"/>
      <c r="Y90" s="42"/>
      <c r="Z90" s="42"/>
      <c r="AA90" s="42"/>
      <c r="AB90" s="42"/>
      <c r="AC90" s="42"/>
      <c r="AE90" s="42"/>
      <c r="AF90" s="42"/>
      <c r="AG90" s="42"/>
      <c r="AH90" s="42"/>
      <c r="AI90" s="42"/>
      <c r="AJ90" s="42"/>
      <c r="AK90" s="42"/>
      <c r="AL90" s="42"/>
      <c r="AM90" s="42"/>
      <c r="AO90" s="42"/>
      <c r="AP90" s="42"/>
      <c r="AQ90" s="42"/>
      <c r="AR90" s="42"/>
      <c r="AS90" s="42"/>
      <c r="AT90" s="42"/>
      <c r="AU90" s="42"/>
      <c r="AV90" s="42"/>
      <c r="AW90" s="42"/>
      <c r="AY90" s="42"/>
      <c r="AZ90" s="42"/>
      <c r="BA90" s="42"/>
      <c r="BB90" s="42"/>
      <c r="BC90" s="42"/>
      <c r="BD90" s="42"/>
      <c r="BE90" s="42"/>
      <c r="BF90" s="42"/>
      <c r="BG90" s="42"/>
      <c r="BI90" s="10" t="s">
        <v>117</v>
      </c>
    </row>
    <row r="91" spans="1:61" x14ac:dyDescent="0.2">
      <c r="B91" s="8" t="s">
        <v>280</v>
      </c>
      <c r="C91" s="5" t="s">
        <v>281</v>
      </c>
      <c r="D91" s="54" t="s">
        <v>282</v>
      </c>
      <c r="E91" s="12" t="s">
        <v>245</v>
      </c>
      <c r="F91" s="41">
        <v>0</v>
      </c>
      <c r="G91" s="42">
        <v>0</v>
      </c>
      <c r="H91" s="42">
        <v>0</v>
      </c>
      <c r="I91" s="42">
        <v>0</v>
      </c>
      <c r="K91" s="42">
        <v>0</v>
      </c>
      <c r="L91" s="42">
        <v>0</v>
      </c>
      <c r="M91" s="42">
        <v>0</v>
      </c>
      <c r="N91" s="42">
        <v>0</v>
      </c>
      <c r="O91" s="42">
        <v>0</v>
      </c>
      <c r="P91" s="42">
        <v>0</v>
      </c>
      <c r="Q91" s="42">
        <v>0</v>
      </c>
      <c r="R91" s="42">
        <v>0</v>
      </c>
      <c r="S91" s="42">
        <v>0</v>
      </c>
      <c r="U91" s="42">
        <v>0</v>
      </c>
      <c r="V91" s="42">
        <v>0</v>
      </c>
      <c r="W91" s="42">
        <v>0</v>
      </c>
      <c r="X91" s="42">
        <v>0</v>
      </c>
      <c r="Y91" s="42">
        <v>0</v>
      </c>
      <c r="Z91" s="42">
        <v>0</v>
      </c>
      <c r="AA91" s="42">
        <v>0</v>
      </c>
      <c r="AB91" s="42">
        <v>0</v>
      </c>
      <c r="AC91" s="42">
        <v>0</v>
      </c>
      <c r="AE91" s="42">
        <v>0</v>
      </c>
      <c r="AF91" s="42">
        <v>0</v>
      </c>
      <c r="AG91" s="42">
        <v>0</v>
      </c>
      <c r="AH91" s="42">
        <v>0</v>
      </c>
      <c r="AI91" s="42">
        <v>0</v>
      </c>
      <c r="AJ91" s="42">
        <v>0</v>
      </c>
      <c r="AK91" s="42">
        <v>0</v>
      </c>
      <c r="AL91" s="42">
        <v>0</v>
      </c>
      <c r="AM91" s="42">
        <v>0</v>
      </c>
      <c r="AO91" s="42">
        <v>0</v>
      </c>
      <c r="AP91" s="42">
        <v>0</v>
      </c>
      <c r="AQ91" s="42">
        <v>0</v>
      </c>
      <c r="AR91" s="42">
        <v>0</v>
      </c>
      <c r="AS91" s="42">
        <v>0</v>
      </c>
      <c r="AT91" s="42">
        <v>0</v>
      </c>
      <c r="AU91" s="42">
        <v>0</v>
      </c>
      <c r="AV91" s="42">
        <v>0</v>
      </c>
      <c r="AW91" s="42">
        <v>0</v>
      </c>
      <c r="AY91" s="42">
        <v>0</v>
      </c>
      <c r="AZ91" s="42">
        <v>0</v>
      </c>
      <c r="BA91" s="42">
        <v>0</v>
      </c>
      <c r="BB91" s="42">
        <v>0</v>
      </c>
      <c r="BC91" s="42">
        <v>0</v>
      </c>
      <c r="BD91" s="42">
        <v>0</v>
      </c>
      <c r="BE91" s="42">
        <v>0</v>
      </c>
      <c r="BF91" s="42">
        <v>0</v>
      </c>
      <c r="BG91" s="42">
        <v>0</v>
      </c>
      <c r="BI91" s="10" t="s">
        <v>117</v>
      </c>
    </row>
    <row r="92" spans="1:61" x14ac:dyDescent="0.2">
      <c r="B92" s="8"/>
      <c r="C92" s="5" t="s">
        <v>283</v>
      </c>
      <c r="D92" s="54" t="s">
        <v>284</v>
      </c>
      <c r="E92" s="12" t="s">
        <v>285</v>
      </c>
      <c r="F92" s="41"/>
      <c r="G92" s="42"/>
      <c r="H92" s="42"/>
      <c r="I92" s="42"/>
      <c r="K92" s="42"/>
      <c r="L92" s="42"/>
      <c r="M92" s="42"/>
      <c r="N92" s="42"/>
      <c r="O92" s="42"/>
      <c r="P92" s="42"/>
      <c r="Q92" s="42"/>
      <c r="R92" s="42"/>
      <c r="S92" s="42"/>
      <c r="U92" s="42"/>
      <c r="V92" s="42"/>
      <c r="W92" s="42"/>
      <c r="X92" s="42"/>
      <c r="Y92" s="42"/>
      <c r="Z92" s="42"/>
      <c r="AA92" s="42"/>
      <c r="AB92" s="42"/>
      <c r="AC92" s="42"/>
      <c r="AE92" s="42"/>
      <c r="AF92" s="42"/>
      <c r="AG92" s="42"/>
      <c r="AH92" s="42"/>
      <c r="AI92" s="42"/>
      <c r="AJ92" s="42"/>
      <c r="AK92" s="42"/>
      <c r="AL92" s="42"/>
      <c r="AM92" s="42"/>
      <c r="AO92" s="42"/>
      <c r="AP92" s="42"/>
      <c r="AQ92" s="42"/>
      <c r="AR92" s="42"/>
      <c r="AS92" s="42"/>
      <c r="AT92" s="42"/>
      <c r="AU92" s="42"/>
      <c r="AV92" s="42"/>
      <c r="AW92" s="42"/>
      <c r="AY92" s="42"/>
      <c r="AZ92" s="42"/>
      <c r="BA92" s="42"/>
      <c r="BB92" s="42"/>
      <c r="BC92" s="42"/>
      <c r="BD92" s="42"/>
      <c r="BE92" s="42"/>
      <c r="BF92" s="42"/>
      <c r="BG92" s="42"/>
    </row>
    <row r="93" spans="1:61" x14ac:dyDescent="0.2">
      <c r="B93" s="8"/>
      <c r="D93" s="54" t="s">
        <v>57</v>
      </c>
    </row>
    <row r="94" spans="1:61" x14ac:dyDescent="0.2">
      <c r="B94" s="8"/>
      <c r="D94" s="54" t="s">
        <v>57</v>
      </c>
      <c r="E94" s="35" t="s">
        <v>286</v>
      </c>
    </row>
    <row r="95" spans="1:61" x14ac:dyDescent="0.2">
      <c r="B95" s="8" t="s">
        <v>287</v>
      </c>
      <c r="C95" s="5" t="s">
        <v>288</v>
      </c>
      <c r="D95" s="54" t="s">
        <v>289</v>
      </c>
      <c r="E95" s="12" t="s">
        <v>290</v>
      </c>
      <c r="F95" s="41">
        <v>0</v>
      </c>
      <c r="G95" s="42">
        <v>0</v>
      </c>
      <c r="H95" s="42">
        <v>0</v>
      </c>
      <c r="I95" s="42">
        <v>0</v>
      </c>
      <c r="K95" s="42">
        <v>0</v>
      </c>
      <c r="L95" s="42">
        <v>0</v>
      </c>
      <c r="M95" s="42">
        <v>173.398</v>
      </c>
      <c r="N95" s="42">
        <v>226.77799999999999</v>
      </c>
      <c r="O95" s="42">
        <v>235.316</v>
      </c>
      <c r="P95" s="42">
        <v>240.02500000000001</v>
      </c>
      <c r="Q95" s="42">
        <v>242.429</v>
      </c>
      <c r="R95" s="42">
        <v>249.25700000000001</v>
      </c>
      <c r="S95" s="42">
        <v>259.23899999999998</v>
      </c>
      <c r="U95" s="42">
        <v>0</v>
      </c>
      <c r="V95" s="42">
        <v>0</v>
      </c>
      <c r="W95" s="42">
        <v>159.44499999999999</v>
      </c>
      <c r="X95" s="42">
        <v>203.58799999999999</v>
      </c>
      <c r="Y95" s="42">
        <v>200.42599999999999</v>
      </c>
      <c r="Z95" s="42">
        <v>195.702</v>
      </c>
      <c r="AA95" s="42">
        <v>189.97399999999999</v>
      </c>
      <c r="AB95" s="42">
        <v>187.42099999999999</v>
      </c>
      <c r="AC95" s="42">
        <v>186.11500000000001</v>
      </c>
      <c r="AE95" s="42">
        <v>0</v>
      </c>
      <c r="AF95" s="42">
        <v>0</v>
      </c>
      <c r="AG95" s="42">
        <v>173.398</v>
      </c>
      <c r="AH95" s="42">
        <v>226.77799999999999</v>
      </c>
      <c r="AI95" s="42">
        <v>235.316</v>
      </c>
      <c r="AJ95" s="42">
        <v>240.02500000000001</v>
      </c>
      <c r="AK95" s="42">
        <v>242.429</v>
      </c>
      <c r="AL95" s="42">
        <v>249.25700000000001</v>
      </c>
      <c r="AM95" s="42">
        <v>259.23899999999998</v>
      </c>
      <c r="AO95" s="42">
        <v>0</v>
      </c>
      <c r="AP95" s="42">
        <v>0</v>
      </c>
      <c r="AQ95" s="42">
        <v>170.75399999999999</v>
      </c>
      <c r="AR95" s="42">
        <v>221.78100000000001</v>
      </c>
      <c r="AS95" s="42">
        <v>225.17</v>
      </c>
      <c r="AT95" s="42">
        <v>225.38399999999999</v>
      </c>
      <c r="AU95" s="42">
        <v>223.57599999999999</v>
      </c>
      <c r="AV95" s="42">
        <v>225.55099999999999</v>
      </c>
      <c r="AW95" s="42">
        <v>229.982</v>
      </c>
      <c r="AY95" s="42">
        <v>0</v>
      </c>
      <c r="AZ95" s="42">
        <v>0</v>
      </c>
      <c r="BA95" s="42">
        <v>159.36199999999999</v>
      </c>
      <c r="BB95" s="42">
        <v>204.709</v>
      </c>
      <c r="BC95" s="42">
        <v>202.48699999999999</v>
      </c>
      <c r="BD95" s="42">
        <v>198.375</v>
      </c>
      <c r="BE95" s="42">
        <v>192.27099999999999</v>
      </c>
      <c r="BF95" s="42">
        <v>189.60400000000001</v>
      </c>
      <c r="BG95" s="42">
        <v>189.11699999999999</v>
      </c>
      <c r="BI95" s="10" t="s">
        <v>117</v>
      </c>
    </row>
    <row r="96" spans="1:61" x14ac:dyDescent="0.2">
      <c r="B96" s="8"/>
      <c r="C96" s="5" t="s">
        <v>291</v>
      </c>
      <c r="D96" s="54" t="s">
        <v>292</v>
      </c>
      <c r="E96" s="12" t="s">
        <v>293</v>
      </c>
      <c r="F96" s="41"/>
      <c r="G96" s="42"/>
      <c r="H96" s="42"/>
      <c r="I96" s="42"/>
      <c r="K96" s="42"/>
      <c r="L96" s="42"/>
      <c r="M96" s="42"/>
      <c r="N96" s="42"/>
      <c r="O96" s="42"/>
      <c r="P96" s="42"/>
      <c r="Q96" s="42"/>
      <c r="R96" s="42"/>
      <c r="S96" s="42"/>
      <c r="U96" s="42"/>
      <c r="V96" s="42"/>
      <c r="W96" s="42"/>
      <c r="X96" s="42"/>
      <c r="Y96" s="42"/>
      <c r="Z96" s="42"/>
      <c r="AA96" s="42"/>
      <c r="AB96" s="42"/>
      <c r="AC96" s="42"/>
      <c r="AE96" s="42"/>
      <c r="AF96" s="42"/>
      <c r="AG96" s="42"/>
      <c r="AH96" s="42"/>
      <c r="AI96" s="42"/>
      <c r="AJ96" s="42"/>
      <c r="AK96" s="42"/>
      <c r="AL96" s="42"/>
      <c r="AM96" s="42"/>
      <c r="AO96" s="42"/>
      <c r="AP96" s="42"/>
      <c r="AQ96" s="42"/>
      <c r="AR96" s="42"/>
      <c r="AS96" s="42"/>
      <c r="AT96" s="42"/>
      <c r="AU96" s="42"/>
      <c r="AV96" s="42"/>
      <c r="AW96" s="42"/>
      <c r="AY96" s="42"/>
      <c r="AZ96" s="42"/>
      <c r="BA96" s="42"/>
      <c r="BB96" s="42"/>
      <c r="BC96" s="42"/>
      <c r="BD96" s="42"/>
      <c r="BE96" s="42"/>
      <c r="BF96" s="42"/>
      <c r="BG96" s="42"/>
    </row>
    <row r="97" spans="2:61" x14ac:dyDescent="0.2">
      <c r="B97" s="8"/>
      <c r="D97" s="54" t="s">
        <v>57</v>
      </c>
    </row>
    <row r="98" spans="2:61" x14ac:dyDescent="0.2">
      <c r="B98" s="8"/>
      <c r="D98" s="54" t="s">
        <v>57</v>
      </c>
      <c r="E98" s="35" t="s">
        <v>294</v>
      </c>
    </row>
    <row r="99" spans="2:61" x14ac:dyDescent="0.2">
      <c r="B99" s="8"/>
      <c r="D99" s="54" t="s">
        <v>57</v>
      </c>
      <c r="E99" s="35" t="s">
        <v>295</v>
      </c>
    </row>
    <row r="100" spans="2:61" x14ac:dyDescent="0.2">
      <c r="B100" s="8" t="s">
        <v>296</v>
      </c>
      <c r="C100" s="5" t="s">
        <v>297</v>
      </c>
      <c r="D100" s="54" t="s">
        <v>298</v>
      </c>
      <c r="E100" s="12" t="s">
        <v>299</v>
      </c>
      <c r="F100" s="41"/>
      <c r="G100" s="42"/>
      <c r="H100" s="42"/>
      <c r="I100" s="42"/>
      <c r="K100" s="42"/>
      <c r="L100" s="42"/>
      <c r="M100" s="42"/>
      <c r="N100" s="42"/>
      <c r="O100" s="42"/>
      <c r="P100" s="42"/>
      <c r="Q100" s="42"/>
      <c r="R100" s="42"/>
      <c r="S100" s="42"/>
      <c r="U100" s="42"/>
      <c r="V100" s="42"/>
      <c r="W100" s="42"/>
      <c r="X100" s="42"/>
      <c r="Y100" s="42"/>
      <c r="Z100" s="42"/>
      <c r="AA100" s="42"/>
      <c r="AB100" s="42"/>
      <c r="AC100" s="42"/>
      <c r="AE100" s="42"/>
      <c r="AF100" s="42"/>
      <c r="AG100" s="42"/>
      <c r="AH100" s="42"/>
      <c r="AI100" s="42"/>
      <c r="AJ100" s="42"/>
      <c r="AK100" s="42"/>
      <c r="AL100" s="42"/>
      <c r="AM100" s="42"/>
      <c r="AO100" s="42"/>
      <c r="AP100" s="42"/>
      <c r="AQ100" s="42"/>
      <c r="AR100" s="42"/>
      <c r="AS100" s="42"/>
      <c r="AT100" s="42"/>
      <c r="AU100" s="42"/>
      <c r="AV100" s="42"/>
      <c r="AW100" s="42"/>
      <c r="AY100" s="42"/>
      <c r="AZ100" s="42"/>
      <c r="BA100" s="42"/>
      <c r="BB100" s="42"/>
      <c r="BC100" s="42"/>
      <c r="BD100" s="42"/>
      <c r="BE100" s="42"/>
      <c r="BF100" s="42"/>
      <c r="BG100" s="42"/>
      <c r="BI100" s="10" t="s">
        <v>117</v>
      </c>
    </row>
    <row r="101" spans="2:61" x14ac:dyDescent="0.2">
      <c r="B101" s="8" t="s">
        <v>300</v>
      </c>
      <c r="C101" s="5" t="s">
        <v>301</v>
      </c>
      <c r="D101" s="54" t="s">
        <v>302</v>
      </c>
      <c r="E101" s="12" t="s">
        <v>303</v>
      </c>
      <c r="F101" s="41"/>
      <c r="G101" s="42"/>
      <c r="H101" s="42"/>
      <c r="I101" s="42"/>
      <c r="K101" s="42"/>
      <c r="L101" s="42"/>
      <c r="M101" s="42"/>
      <c r="N101" s="42"/>
      <c r="O101" s="42"/>
      <c r="P101" s="42"/>
      <c r="Q101" s="42"/>
      <c r="R101" s="42"/>
      <c r="S101" s="42"/>
      <c r="U101" s="42"/>
      <c r="V101" s="42"/>
      <c r="W101" s="42"/>
      <c r="X101" s="42"/>
      <c r="Y101" s="42"/>
      <c r="Z101" s="42"/>
      <c r="AA101" s="42"/>
      <c r="AB101" s="42"/>
      <c r="AC101" s="42"/>
      <c r="AE101" s="42"/>
      <c r="AF101" s="42"/>
      <c r="AG101" s="42"/>
      <c r="AH101" s="42"/>
      <c r="AI101" s="42"/>
      <c r="AJ101" s="42"/>
      <c r="AK101" s="42"/>
      <c r="AL101" s="42"/>
      <c r="AM101" s="42"/>
      <c r="AO101" s="42"/>
      <c r="AP101" s="42"/>
      <c r="AQ101" s="42"/>
      <c r="AR101" s="42"/>
      <c r="AS101" s="42"/>
      <c r="AT101" s="42"/>
      <c r="AU101" s="42"/>
      <c r="AV101" s="42"/>
      <c r="AW101" s="42"/>
      <c r="AY101" s="42"/>
      <c r="AZ101" s="42"/>
      <c r="BA101" s="42"/>
      <c r="BB101" s="42"/>
      <c r="BC101" s="42"/>
      <c r="BD101" s="42"/>
      <c r="BE101" s="42"/>
      <c r="BF101" s="42"/>
      <c r="BG101" s="42"/>
      <c r="BI101" s="10" t="s">
        <v>117</v>
      </c>
    </row>
    <row r="102" spans="2:61" x14ac:dyDescent="0.2">
      <c r="B102" s="8" t="s">
        <v>304</v>
      </c>
      <c r="C102" s="5" t="s">
        <v>305</v>
      </c>
      <c r="D102" s="54" t="s">
        <v>306</v>
      </c>
      <c r="E102" s="12" t="s">
        <v>307</v>
      </c>
      <c r="F102" s="41"/>
      <c r="G102" s="42"/>
      <c r="H102" s="42"/>
      <c r="I102" s="42"/>
      <c r="K102" s="42"/>
      <c r="L102" s="42"/>
      <c r="M102" s="42">
        <v>0</v>
      </c>
      <c r="N102" s="42">
        <v>0</v>
      </c>
      <c r="O102" s="42">
        <v>0</v>
      </c>
      <c r="P102" s="42">
        <v>0</v>
      </c>
      <c r="Q102" s="42">
        <v>0</v>
      </c>
      <c r="R102" s="42">
        <v>0</v>
      </c>
      <c r="S102" s="42">
        <v>0</v>
      </c>
      <c r="U102" s="42"/>
      <c r="V102" s="42"/>
      <c r="W102" s="42">
        <v>0</v>
      </c>
      <c r="X102" s="42">
        <v>0</v>
      </c>
      <c r="Y102" s="42">
        <v>0</v>
      </c>
      <c r="Z102" s="42">
        <v>0</v>
      </c>
      <c r="AA102" s="42">
        <v>0</v>
      </c>
      <c r="AB102" s="42">
        <v>0</v>
      </c>
      <c r="AC102" s="42">
        <v>0</v>
      </c>
      <c r="AE102" s="42"/>
      <c r="AF102" s="42"/>
      <c r="AG102" s="42">
        <v>0</v>
      </c>
      <c r="AH102" s="42">
        <v>0</v>
      </c>
      <c r="AI102" s="42">
        <v>0</v>
      </c>
      <c r="AJ102" s="42">
        <v>0</v>
      </c>
      <c r="AK102" s="42">
        <v>0</v>
      </c>
      <c r="AL102" s="42">
        <v>0</v>
      </c>
      <c r="AM102" s="42">
        <v>0</v>
      </c>
      <c r="AO102" s="42"/>
      <c r="AP102" s="42"/>
      <c r="AQ102" s="42">
        <v>0</v>
      </c>
      <c r="AR102" s="42">
        <v>0</v>
      </c>
      <c r="AS102" s="42">
        <v>0</v>
      </c>
      <c r="AT102" s="42">
        <v>0</v>
      </c>
      <c r="AU102" s="42">
        <v>0</v>
      </c>
      <c r="AV102" s="42">
        <v>0</v>
      </c>
      <c r="AW102" s="42">
        <v>0</v>
      </c>
      <c r="AY102" s="42"/>
      <c r="AZ102" s="42"/>
      <c r="BA102" s="42">
        <v>0</v>
      </c>
      <c r="BB102" s="42">
        <v>0</v>
      </c>
      <c r="BC102" s="42">
        <v>0</v>
      </c>
      <c r="BD102" s="42">
        <v>0</v>
      </c>
      <c r="BE102" s="42">
        <v>0</v>
      </c>
      <c r="BF102" s="42">
        <v>0</v>
      </c>
      <c r="BG102" s="42">
        <v>0</v>
      </c>
      <c r="BI102" s="10" t="s">
        <v>117</v>
      </c>
    </row>
    <row r="103" spans="2:61" x14ac:dyDescent="0.2">
      <c r="B103" s="8" t="s">
        <v>308</v>
      </c>
      <c r="C103" s="5" t="s">
        <v>309</v>
      </c>
      <c r="D103" s="54" t="s">
        <v>310</v>
      </c>
      <c r="E103" s="12" t="s">
        <v>311</v>
      </c>
      <c r="F103" s="41"/>
      <c r="G103" s="42"/>
      <c r="H103" s="42"/>
      <c r="I103" s="42"/>
      <c r="K103" s="42"/>
      <c r="L103" s="42"/>
      <c r="M103" s="42">
        <v>17.34</v>
      </c>
      <c r="N103" s="42">
        <v>22.678000000000001</v>
      </c>
      <c r="O103" s="42">
        <v>23.532</v>
      </c>
      <c r="P103" s="42">
        <v>24.003</v>
      </c>
      <c r="Q103" s="42">
        <v>24.242999999999999</v>
      </c>
      <c r="R103" s="42">
        <v>24.925999999999998</v>
      </c>
      <c r="S103" s="42">
        <v>25.923999999999999</v>
      </c>
      <c r="U103" s="42"/>
      <c r="V103" s="42"/>
      <c r="W103" s="42">
        <v>15.945</v>
      </c>
      <c r="X103" s="42">
        <v>20.359000000000002</v>
      </c>
      <c r="Y103" s="42">
        <v>20.042999999999999</v>
      </c>
      <c r="Z103" s="42">
        <v>19.57</v>
      </c>
      <c r="AA103" s="42">
        <v>18.997</v>
      </c>
      <c r="AB103" s="42">
        <v>18.742000000000001</v>
      </c>
      <c r="AC103" s="42">
        <v>18.611999999999998</v>
      </c>
      <c r="AE103" s="42"/>
      <c r="AF103" s="42"/>
      <c r="AG103" s="42">
        <v>17.34</v>
      </c>
      <c r="AH103" s="42">
        <v>22.678000000000001</v>
      </c>
      <c r="AI103" s="42">
        <v>23.532</v>
      </c>
      <c r="AJ103" s="42">
        <v>24.003</v>
      </c>
      <c r="AK103" s="42">
        <v>24.242999999999999</v>
      </c>
      <c r="AL103" s="42">
        <v>24.925999999999998</v>
      </c>
      <c r="AM103" s="42">
        <v>25.923999999999999</v>
      </c>
      <c r="AO103" s="42"/>
      <c r="AP103" s="42"/>
      <c r="AQ103" s="42">
        <v>17.074999999999999</v>
      </c>
      <c r="AR103" s="42">
        <v>22.178000000000001</v>
      </c>
      <c r="AS103" s="42">
        <v>22.516999999999999</v>
      </c>
      <c r="AT103" s="42">
        <v>22.538</v>
      </c>
      <c r="AU103" s="42">
        <v>22.358000000000001</v>
      </c>
      <c r="AV103" s="42">
        <v>22.555</v>
      </c>
      <c r="AW103" s="42">
        <v>22.998000000000001</v>
      </c>
      <c r="AY103" s="42"/>
      <c r="AZ103" s="42"/>
      <c r="BA103" s="42">
        <v>15.936</v>
      </c>
      <c r="BB103" s="42">
        <v>20.471</v>
      </c>
      <c r="BC103" s="42">
        <v>20.248999999999999</v>
      </c>
      <c r="BD103" s="42">
        <v>19.838000000000001</v>
      </c>
      <c r="BE103" s="42">
        <v>19.227</v>
      </c>
      <c r="BF103" s="42">
        <v>18.96</v>
      </c>
      <c r="BG103" s="42">
        <v>18.911999999999999</v>
      </c>
      <c r="BI103" s="10" t="s">
        <v>117</v>
      </c>
    </row>
    <row r="104" spans="2:61" x14ac:dyDescent="0.2">
      <c r="B104" s="8" t="s">
        <v>189</v>
      </c>
      <c r="C104" s="5" t="s">
        <v>312</v>
      </c>
      <c r="D104" s="54" t="s">
        <v>313</v>
      </c>
      <c r="E104" s="12" t="s">
        <v>314</v>
      </c>
      <c r="F104" s="41"/>
      <c r="G104" s="42"/>
      <c r="H104" s="42"/>
      <c r="I104" s="42"/>
      <c r="K104" s="42"/>
      <c r="L104" s="42"/>
      <c r="M104" s="42">
        <v>0</v>
      </c>
      <c r="N104" s="42">
        <v>0</v>
      </c>
      <c r="O104" s="42">
        <v>0</v>
      </c>
      <c r="P104" s="42">
        <v>0</v>
      </c>
      <c r="Q104" s="42">
        <v>0</v>
      </c>
      <c r="R104" s="42">
        <v>0</v>
      </c>
      <c r="S104" s="42">
        <v>0</v>
      </c>
      <c r="U104" s="42"/>
      <c r="V104" s="42"/>
      <c r="W104" s="42">
        <v>0</v>
      </c>
      <c r="X104" s="42">
        <v>0</v>
      </c>
      <c r="Y104" s="42">
        <v>0</v>
      </c>
      <c r="Z104" s="42">
        <v>0</v>
      </c>
      <c r="AA104" s="42">
        <v>0</v>
      </c>
      <c r="AB104" s="42">
        <v>0</v>
      </c>
      <c r="AC104" s="42">
        <v>0</v>
      </c>
      <c r="AE104" s="42"/>
      <c r="AF104" s="42"/>
      <c r="AG104" s="42">
        <v>0</v>
      </c>
      <c r="AH104" s="42">
        <v>0</v>
      </c>
      <c r="AI104" s="42">
        <v>0</v>
      </c>
      <c r="AJ104" s="42">
        <v>0</v>
      </c>
      <c r="AK104" s="42">
        <v>0</v>
      </c>
      <c r="AL104" s="42">
        <v>0</v>
      </c>
      <c r="AM104" s="42">
        <v>0</v>
      </c>
      <c r="AO104" s="42"/>
      <c r="AP104" s="42"/>
      <c r="AQ104" s="42">
        <v>0</v>
      </c>
      <c r="AR104" s="42">
        <v>0</v>
      </c>
      <c r="AS104" s="42">
        <v>0</v>
      </c>
      <c r="AT104" s="42">
        <v>0</v>
      </c>
      <c r="AU104" s="42">
        <v>0</v>
      </c>
      <c r="AV104" s="42">
        <v>0</v>
      </c>
      <c r="AW104" s="42">
        <v>0</v>
      </c>
      <c r="AY104" s="42"/>
      <c r="AZ104" s="42"/>
      <c r="BA104" s="42">
        <v>0</v>
      </c>
      <c r="BB104" s="42">
        <v>0</v>
      </c>
      <c r="BC104" s="42">
        <v>0</v>
      </c>
      <c r="BD104" s="42">
        <v>0</v>
      </c>
      <c r="BE104" s="42">
        <v>0</v>
      </c>
      <c r="BF104" s="42">
        <v>0</v>
      </c>
      <c r="BG104" s="42">
        <v>0</v>
      </c>
      <c r="BI104" s="10" t="s">
        <v>117</v>
      </c>
    </row>
    <row r="105" spans="2:61" x14ac:dyDescent="0.2">
      <c r="B105" s="8"/>
      <c r="D105" s="54" t="s">
        <v>57</v>
      </c>
    </row>
    <row r="106" spans="2:61" x14ac:dyDescent="0.2">
      <c r="B106" s="8"/>
      <c r="D106" s="54" t="s">
        <v>57</v>
      </c>
      <c r="E106" s="35" t="s">
        <v>315</v>
      </c>
    </row>
    <row r="107" spans="2:61" x14ac:dyDescent="0.2">
      <c r="B107" s="8" t="s">
        <v>316</v>
      </c>
      <c r="C107" s="5" t="s">
        <v>317</v>
      </c>
      <c r="D107" s="54" t="s">
        <v>318</v>
      </c>
      <c r="E107" s="12" t="s">
        <v>319</v>
      </c>
      <c r="F107" s="41"/>
      <c r="G107" s="42"/>
      <c r="H107" s="42"/>
      <c r="I107" s="42"/>
      <c r="K107" s="42"/>
      <c r="L107" s="42"/>
      <c r="M107" s="42">
        <v>0</v>
      </c>
      <c r="N107" s="42">
        <v>0</v>
      </c>
      <c r="O107" s="42">
        <v>0</v>
      </c>
      <c r="P107" s="42">
        <v>0</v>
      </c>
      <c r="Q107" s="42">
        <v>0</v>
      </c>
      <c r="R107" s="42">
        <v>0</v>
      </c>
      <c r="S107" s="42">
        <v>0</v>
      </c>
      <c r="U107" s="42"/>
      <c r="V107" s="42"/>
      <c r="W107" s="42">
        <v>0</v>
      </c>
      <c r="X107" s="42">
        <v>0</v>
      </c>
      <c r="Y107" s="42">
        <v>0</v>
      </c>
      <c r="Z107" s="42">
        <v>0</v>
      </c>
      <c r="AA107" s="42">
        <v>0</v>
      </c>
      <c r="AB107" s="42">
        <v>0</v>
      </c>
      <c r="AC107" s="42">
        <v>0</v>
      </c>
      <c r="AE107" s="42"/>
      <c r="AF107" s="42"/>
      <c r="AG107" s="42">
        <v>0</v>
      </c>
      <c r="AH107" s="42">
        <v>0</v>
      </c>
      <c r="AI107" s="42">
        <v>0</v>
      </c>
      <c r="AJ107" s="42">
        <v>0</v>
      </c>
      <c r="AK107" s="42">
        <v>0</v>
      </c>
      <c r="AL107" s="42">
        <v>0</v>
      </c>
      <c r="AM107" s="42">
        <v>0</v>
      </c>
      <c r="AO107" s="42"/>
      <c r="AP107" s="42"/>
      <c r="AQ107" s="42">
        <v>0</v>
      </c>
      <c r="AR107" s="42">
        <v>0</v>
      </c>
      <c r="AS107" s="42">
        <v>0</v>
      </c>
      <c r="AT107" s="42">
        <v>0</v>
      </c>
      <c r="AU107" s="42">
        <v>0</v>
      </c>
      <c r="AV107" s="42">
        <v>0</v>
      </c>
      <c r="AW107" s="42">
        <v>0</v>
      </c>
      <c r="AY107" s="42"/>
      <c r="AZ107" s="42"/>
      <c r="BA107" s="42">
        <v>0</v>
      </c>
      <c r="BB107" s="42">
        <v>0</v>
      </c>
      <c r="BC107" s="42">
        <v>0</v>
      </c>
      <c r="BD107" s="42">
        <v>0</v>
      </c>
      <c r="BE107" s="42">
        <v>0</v>
      </c>
      <c r="BF107" s="42">
        <v>0</v>
      </c>
      <c r="BG107" s="42">
        <v>0</v>
      </c>
      <c r="BI107" s="10" t="s">
        <v>117</v>
      </c>
    </row>
    <row r="108" spans="2:61" x14ac:dyDescent="0.2">
      <c r="B108" s="8" t="s">
        <v>320</v>
      </c>
      <c r="C108" s="5" t="s">
        <v>321</v>
      </c>
      <c r="D108" s="54" t="s">
        <v>322</v>
      </c>
      <c r="E108" s="12" t="s">
        <v>323</v>
      </c>
      <c r="F108" s="41"/>
      <c r="G108" s="42"/>
      <c r="H108" s="42"/>
      <c r="I108" s="42"/>
      <c r="K108" s="42"/>
      <c r="L108" s="42"/>
      <c r="M108" s="42"/>
      <c r="N108" s="42"/>
      <c r="O108" s="42"/>
      <c r="P108" s="42"/>
      <c r="Q108" s="42"/>
      <c r="R108" s="42"/>
      <c r="S108" s="42"/>
      <c r="U108" s="42"/>
      <c r="V108" s="42"/>
      <c r="W108" s="42"/>
      <c r="X108" s="42"/>
      <c r="Y108" s="42"/>
      <c r="Z108" s="42"/>
      <c r="AA108" s="42"/>
      <c r="AB108" s="42"/>
      <c r="AC108" s="42"/>
      <c r="AE108" s="42"/>
      <c r="AF108" s="42"/>
      <c r="AG108" s="42"/>
      <c r="AH108" s="42"/>
      <c r="AI108" s="42"/>
      <c r="AJ108" s="42"/>
      <c r="AK108" s="42"/>
      <c r="AL108" s="42"/>
      <c r="AM108" s="42"/>
      <c r="AO108" s="42"/>
      <c r="AP108" s="42"/>
      <c r="AQ108" s="42"/>
      <c r="AR108" s="42"/>
      <c r="AS108" s="42"/>
      <c r="AT108" s="42"/>
      <c r="AU108" s="42"/>
      <c r="AV108" s="42"/>
      <c r="AW108" s="42"/>
      <c r="AY108" s="42"/>
      <c r="AZ108" s="42"/>
      <c r="BA108" s="42"/>
      <c r="BB108" s="42"/>
      <c r="BC108" s="42"/>
      <c r="BD108" s="42"/>
      <c r="BE108" s="42"/>
      <c r="BF108" s="42"/>
      <c r="BG108" s="42"/>
      <c r="BI108" s="10" t="s">
        <v>117</v>
      </c>
    </row>
    <row r="109" spans="2:61" x14ac:dyDescent="0.2">
      <c r="B109" s="8" t="s">
        <v>324</v>
      </c>
      <c r="C109" s="5" t="s">
        <v>325</v>
      </c>
      <c r="D109" s="54" t="s">
        <v>326</v>
      </c>
      <c r="E109" s="12" t="s">
        <v>327</v>
      </c>
      <c r="F109" s="41"/>
      <c r="G109" s="42"/>
      <c r="H109" s="42"/>
      <c r="I109" s="42"/>
      <c r="K109" s="42"/>
      <c r="L109" s="42"/>
      <c r="M109" s="42">
        <v>0</v>
      </c>
      <c r="N109" s="42">
        <v>0</v>
      </c>
      <c r="O109" s="42">
        <v>0</v>
      </c>
      <c r="P109" s="42">
        <v>0</v>
      </c>
      <c r="Q109" s="42">
        <v>0</v>
      </c>
      <c r="R109" s="42">
        <v>0</v>
      </c>
      <c r="S109" s="42">
        <v>0</v>
      </c>
      <c r="U109" s="42"/>
      <c r="V109" s="42"/>
      <c r="W109" s="42">
        <v>0</v>
      </c>
      <c r="X109" s="42">
        <v>0</v>
      </c>
      <c r="Y109" s="42">
        <v>0</v>
      </c>
      <c r="Z109" s="42">
        <v>0</v>
      </c>
      <c r="AA109" s="42">
        <v>0</v>
      </c>
      <c r="AB109" s="42">
        <v>0</v>
      </c>
      <c r="AC109" s="42">
        <v>0</v>
      </c>
      <c r="AE109" s="42"/>
      <c r="AF109" s="42"/>
      <c r="AG109" s="42">
        <v>0</v>
      </c>
      <c r="AH109" s="42">
        <v>0</v>
      </c>
      <c r="AI109" s="42">
        <v>0</v>
      </c>
      <c r="AJ109" s="42">
        <v>0</v>
      </c>
      <c r="AK109" s="42">
        <v>0</v>
      </c>
      <c r="AL109" s="42">
        <v>0</v>
      </c>
      <c r="AM109" s="42">
        <v>0</v>
      </c>
      <c r="AO109" s="42"/>
      <c r="AP109" s="42"/>
      <c r="AQ109" s="42">
        <v>0</v>
      </c>
      <c r="AR109" s="42">
        <v>0</v>
      </c>
      <c r="AS109" s="42">
        <v>0</v>
      </c>
      <c r="AT109" s="42">
        <v>0</v>
      </c>
      <c r="AU109" s="42">
        <v>0</v>
      </c>
      <c r="AV109" s="42">
        <v>0</v>
      </c>
      <c r="AW109" s="42">
        <v>0</v>
      </c>
      <c r="AY109" s="42"/>
      <c r="AZ109" s="42"/>
      <c r="BA109" s="42">
        <v>0</v>
      </c>
      <c r="BB109" s="42">
        <v>0</v>
      </c>
      <c r="BC109" s="42">
        <v>0</v>
      </c>
      <c r="BD109" s="42">
        <v>0</v>
      </c>
      <c r="BE109" s="42">
        <v>0</v>
      </c>
      <c r="BF109" s="42">
        <v>0</v>
      </c>
      <c r="BG109" s="42">
        <v>0</v>
      </c>
      <c r="BI109" s="10" t="s">
        <v>117</v>
      </c>
    </row>
    <row r="110" spans="2:61" x14ac:dyDescent="0.2">
      <c r="B110" s="8" t="s">
        <v>308</v>
      </c>
      <c r="C110" s="5" t="s">
        <v>309</v>
      </c>
      <c r="D110" s="54" t="s">
        <v>328</v>
      </c>
      <c r="E110" s="12" t="s">
        <v>311</v>
      </c>
      <c r="F110" s="41"/>
      <c r="G110" s="42"/>
      <c r="H110" s="42"/>
      <c r="I110" s="42"/>
      <c r="K110" s="42"/>
      <c r="L110" s="42"/>
      <c r="M110" s="42">
        <v>17.34</v>
      </c>
      <c r="N110" s="42">
        <v>22.678000000000001</v>
      </c>
      <c r="O110" s="42">
        <v>23.532</v>
      </c>
      <c r="P110" s="42">
        <v>24.003</v>
      </c>
      <c r="Q110" s="42">
        <v>24.242999999999999</v>
      </c>
      <c r="R110" s="42">
        <v>24.925999999999998</v>
      </c>
      <c r="S110" s="42">
        <v>25.923999999999999</v>
      </c>
      <c r="U110" s="42"/>
      <c r="V110" s="42"/>
      <c r="W110" s="42">
        <v>15.945</v>
      </c>
      <c r="X110" s="42">
        <v>20.359000000000002</v>
      </c>
      <c r="Y110" s="42">
        <v>20.042999999999999</v>
      </c>
      <c r="Z110" s="42">
        <v>19.57</v>
      </c>
      <c r="AA110" s="42">
        <v>18.997</v>
      </c>
      <c r="AB110" s="42">
        <v>18.742000000000001</v>
      </c>
      <c r="AC110" s="42">
        <v>18.611999999999998</v>
      </c>
      <c r="AE110" s="42"/>
      <c r="AF110" s="42"/>
      <c r="AG110" s="42">
        <v>17.34</v>
      </c>
      <c r="AH110" s="42">
        <v>22.678000000000001</v>
      </c>
      <c r="AI110" s="42">
        <v>23.532</v>
      </c>
      <c r="AJ110" s="42">
        <v>24.003</v>
      </c>
      <c r="AK110" s="42">
        <v>24.242999999999999</v>
      </c>
      <c r="AL110" s="42">
        <v>24.925999999999998</v>
      </c>
      <c r="AM110" s="42">
        <v>25.923999999999999</v>
      </c>
      <c r="AO110" s="42"/>
      <c r="AP110" s="42"/>
      <c r="AQ110" s="42">
        <v>17.074999999999999</v>
      </c>
      <c r="AR110" s="42">
        <v>22.178000000000001</v>
      </c>
      <c r="AS110" s="42">
        <v>22.516999999999999</v>
      </c>
      <c r="AT110" s="42">
        <v>22.538</v>
      </c>
      <c r="AU110" s="42">
        <v>22.358000000000001</v>
      </c>
      <c r="AV110" s="42">
        <v>22.555</v>
      </c>
      <c r="AW110" s="42">
        <v>22.998000000000001</v>
      </c>
      <c r="AY110" s="42"/>
      <c r="AZ110" s="42"/>
      <c r="BA110" s="42">
        <v>15.936</v>
      </c>
      <c r="BB110" s="42">
        <v>20.471</v>
      </c>
      <c r="BC110" s="42">
        <v>20.248999999999999</v>
      </c>
      <c r="BD110" s="42">
        <v>19.838000000000001</v>
      </c>
      <c r="BE110" s="42">
        <v>19.227</v>
      </c>
      <c r="BF110" s="42">
        <v>18.96</v>
      </c>
      <c r="BG110" s="42">
        <v>18.911999999999999</v>
      </c>
      <c r="BI110" s="10" t="s">
        <v>117</v>
      </c>
    </row>
    <row r="111" spans="2:61" x14ac:dyDescent="0.2">
      <c r="B111" s="8" t="s">
        <v>193</v>
      </c>
      <c r="C111" s="5" t="s">
        <v>329</v>
      </c>
      <c r="D111" s="54" t="s">
        <v>330</v>
      </c>
      <c r="E111" s="12" t="s">
        <v>331</v>
      </c>
      <c r="F111" s="41"/>
      <c r="G111" s="42"/>
      <c r="H111" s="42"/>
      <c r="I111" s="42"/>
      <c r="K111" s="42"/>
      <c r="L111" s="42"/>
      <c r="M111" s="42">
        <v>0</v>
      </c>
      <c r="N111" s="42">
        <v>0</v>
      </c>
      <c r="O111" s="42">
        <v>0</v>
      </c>
      <c r="P111" s="42">
        <v>0</v>
      </c>
      <c r="Q111" s="42">
        <v>0</v>
      </c>
      <c r="R111" s="42">
        <v>0</v>
      </c>
      <c r="S111" s="42">
        <v>0</v>
      </c>
      <c r="U111" s="42"/>
      <c r="V111" s="42"/>
      <c r="W111" s="42">
        <v>0</v>
      </c>
      <c r="X111" s="42">
        <v>0</v>
      </c>
      <c r="Y111" s="42">
        <v>0</v>
      </c>
      <c r="Z111" s="42">
        <v>0</v>
      </c>
      <c r="AA111" s="42">
        <v>0</v>
      </c>
      <c r="AB111" s="42">
        <v>0</v>
      </c>
      <c r="AC111" s="42">
        <v>0</v>
      </c>
      <c r="AE111" s="42"/>
      <c r="AF111" s="42"/>
      <c r="AG111" s="42">
        <v>0</v>
      </c>
      <c r="AH111" s="42">
        <v>0</v>
      </c>
      <c r="AI111" s="42">
        <v>0</v>
      </c>
      <c r="AJ111" s="42">
        <v>0</v>
      </c>
      <c r="AK111" s="42">
        <v>0</v>
      </c>
      <c r="AL111" s="42">
        <v>0</v>
      </c>
      <c r="AM111" s="42">
        <v>0</v>
      </c>
      <c r="AO111" s="42"/>
      <c r="AP111" s="42"/>
      <c r="AQ111" s="42">
        <v>0</v>
      </c>
      <c r="AR111" s="42">
        <v>0</v>
      </c>
      <c r="AS111" s="42">
        <v>0</v>
      </c>
      <c r="AT111" s="42">
        <v>0</v>
      </c>
      <c r="AU111" s="42">
        <v>0</v>
      </c>
      <c r="AV111" s="42">
        <v>0</v>
      </c>
      <c r="AW111" s="42">
        <v>0</v>
      </c>
      <c r="AY111" s="42"/>
      <c r="AZ111" s="42"/>
      <c r="BA111" s="42">
        <v>0</v>
      </c>
      <c r="BB111" s="42">
        <v>0</v>
      </c>
      <c r="BC111" s="42">
        <v>0</v>
      </c>
      <c r="BD111" s="42">
        <v>0</v>
      </c>
      <c r="BE111" s="42">
        <v>0</v>
      </c>
      <c r="BF111" s="42">
        <v>0</v>
      </c>
      <c r="BG111" s="42">
        <v>0</v>
      </c>
      <c r="BI111" s="10" t="s">
        <v>117</v>
      </c>
    </row>
    <row r="112" spans="2:61" x14ac:dyDescent="0.2">
      <c r="B112" s="8"/>
      <c r="D112" s="54" t="s">
        <v>57</v>
      </c>
    </row>
    <row r="113" spans="2:61" x14ac:dyDescent="0.2">
      <c r="B113" s="8"/>
      <c r="D113" s="54" t="s">
        <v>57</v>
      </c>
      <c r="E113" s="35" t="s">
        <v>332</v>
      </c>
    </row>
    <row r="114" spans="2:61" x14ac:dyDescent="0.2">
      <c r="B114" s="8" t="s">
        <v>333</v>
      </c>
      <c r="C114" s="5" t="s">
        <v>334</v>
      </c>
      <c r="D114" s="54" t="s">
        <v>335</v>
      </c>
      <c r="E114" s="12" t="s">
        <v>332</v>
      </c>
      <c r="F114" s="41"/>
      <c r="G114" s="42"/>
      <c r="H114" s="42"/>
      <c r="I114" s="42"/>
      <c r="K114" s="42"/>
      <c r="L114" s="42"/>
      <c r="M114" s="42">
        <v>0</v>
      </c>
      <c r="N114" s="42">
        <v>0</v>
      </c>
      <c r="O114" s="42">
        <v>0</v>
      </c>
      <c r="P114" s="42">
        <v>0</v>
      </c>
      <c r="Q114" s="42">
        <v>0</v>
      </c>
      <c r="R114" s="42">
        <v>0</v>
      </c>
      <c r="S114" s="42">
        <v>0</v>
      </c>
      <c r="U114" s="42"/>
      <c r="V114" s="42"/>
      <c r="W114" s="42">
        <v>0</v>
      </c>
      <c r="X114" s="42">
        <v>0</v>
      </c>
      <c r="Y114" s="42">
        <v>0</v>
      </c>
      <c r="Z114" s="42">
        <v>0</v>
      </c>
      <c r="AA114" s="42">
        <v>0</v>
      </c>
      <c r="AB114" s="42">
        <v>0</v>
      </c>
      <c r="AC114" s="42">
        <v>0</v>
      </c>
      <c r="AE114" s="42"/>
      <c r="AF114" s="42"/>
      <c r="AG114" s="42">
        <v>0</v>
      </c>
      <c r="AH114" s="42">
        <v>0</v>
      </c>
      <c r="AI114" s="42">
        <v>0</v>
      </c>
      <c r="AJ114" s="42">
        <v>0</v>
      </c>
      <c r="AK114" s="42">
        <v>0</v>
      </c>
      <c r="AL114" s="42">
        <v>0</v>
      </c>
      <c r="AM114" s="42">
        <v>0</v>
      </c>
      <c r="AO114" s="42"/>
      <c r="AP114" s="42"/>
      <c r="AQ114" s="42">
        <v>0</v>
      </c>
      <c r="AR114" s="42">
        <v>0</v>
      </c>
      <c r="AS114" s="42">
        <v>0</v>
      </c>
      <c r="AT114" s="42">
        <v>0</v>
      </c>
      <c r="AU114" s="42">
        <v>0</v>
      </c>
      <c r="AV114" s="42">
        <v>0</v>
      </c>
      <c r="AW114" s="42">
        <v>0</v>
      </c>
      <c r="AY114" s="42"/>
      <c r="AZ114" s="42"/>
      <c r="BA114" s="42">
        <v>0</v>
      </c>
      <c r="BB114" s="42">
        <v>0</v>
      </c>
      <c r="BC114" s="42">
        <v>0</v>
      </c>
      <c r="BD114" s="42">
        <v>0</v>
      </c>
      <c r="BE114" s="42">
        <v>0</v>
      </c>
      <c r="BF114" s="42">
        <v>0</v>
      </c>
      <c r="BG114" s="42">
        <v>0</v>
      </c>
      <c r="BI114" s="10" t="s">
        <v>117</v>
      </c>
    </row>
    <row r="115" spans="2:61" x14ac:dyDescent="0.2">
      <c r="B115" s="8" t="s">
        <v>308</v>
      </c>
      <c r="C115" s="5" t="s">
        <v>309</v>
      </c>
      <c r="D115" s="54" t="s">
        <v>336</v>
      </c>
      <c r="E115" s="12" t="s">
        <v>311</v>
      </c>
      <c r="F115" s="41"/>
      <c r="G115" s="42"/>
      <c r="H115" s="42"/>
      <c r="I115" s="42"/>
      <c r="K115" s="42"/>
      <c r="L115" s="42"/>
      <c r="M115" s="42">
        <v>17.34</v>
      </c>
      <c r="N115" s="42">
        <v>22.678000000000001</v>
      </c>
      <c r="O115" s="42">
        <v>23.532</v>
      </c>
      <c r="P115" s="42">
        <v>24.003</v>
      </c>
      <c r="Q115" s="42">
        <v>24.242999999999999</v>
      </c>
      <c r="R115" s="42">
        <v>24.925999999999998</v>
      </c>
      <c r="S115" s="42">
        <v>25.923999999999999</v>
      </c>
      <c r="U115" s="42"/>
      <c r="V115" s="42"/>
      <c r="W115" s="42">
        <v>15.945</v>
      </c>
      <c r="X115" s="42">
        <v>20.359000000000002</v>
      </c>
      <c r="Y115" s="42">
        <v>20.042999999999999</v>
      </c>
      <c r="Z115" s="42">
        <v>19.57</v>
      </c>
      <c r="AA115" s="42">
        <v>18.997</v>
      </c>
      <c r="AB115" s="42">
        <v>18.742000000000001</v>
      </c>
      <c r="AC115" s="42">
        <v>18.611999999999998</v>
      </c>
      <c r="AE115" s="42"/>
      <c r="AF115" s="42"/>
      <c r="AG115" s="42">
        <v>17.34</v>
      </c>
      <c r="AH115" s="42">
        <v>22.678000000000001</v>
      </c>
      <c r="AI115" s="42">
        <v>23.532</v>
      </c>
      <c r="AJ115" s="42">
        <v>24.003</v>
      </c>
      <c r="AK115" s="42">
        <v>24.242999999999999</v>
      </c>
      <c r="AL115" s="42">
        <v>24.925999999999998</v>
      </c>
      <c r="AM115" s="42">
        <v>25.923999999999999</v>
      </c>
      <c r="AO115" s="42"/>
      <c r="AP115" s="42"/>
      <c r="AQ115" s="42">
        <v>17.074999999999999</v>
      </c>
      <c r="AR115" s="42">
        <v>22.178000000000001</v>
      </c>
      <c r="AS115" s="42">
        <v>22.516999999999999</v>
      </c>
      <c r="AT115" s="42">
        <v>22.538</v>
      </c>
      <c r="AU115" s="42">
        <v>22.358000000000001</v>
      </c>
      <c r="AV115" s="42">
        <v>22.555</v>
      </c>
      <c r="AW115" s="42">
        <v>22.998000000000001</v>
      </c>
      <c r="AY115" s="42"/>
      <c r="AZ115" s="42"/>
      <c r="BA115" s="42">
        <v>15.936</v>
      </c>
      <c r="BB115" s="42">
        <v>20.471</v>
      </c>
      <c r="BC115" s="42">
        <v>20.248999999999999</v>
      </c>
      <c r="BD115" s="42">
        <v>19.838000000000001</v>
      </c>
      <c r="BE115" s="42">
        <v>19.227</v>
      </c>
      <c r="BF115" s="42">
        <v>18.96</v>
      </c>
      <c r="BG115" s="42">
        <v>18.911999999999999</v>
      </c>
      <c r="BI115" s="10" t="s">
        <v>117</v>
      </c>
    </row>
    <row r="116" spans="2:61" x14ac:dyDescent="0.2">
      <c r="B116" s="8" t="s">
        <v>197</v>
      </c>
      <c r="C116" s="5" t="s">
        <v>337</v>
      </c>
      <c r="D116" s="54" t="s">
        <v>338</v>
      </c>
      <c r="E116" s="12" t="s">
        <v>339</v>
      </c>
      <c r="F116" s="41"/>
      <c r="G116" s="42"/>
      <c r="H116" s="42"/>
      <c r="I116" s="42"/>
      <c r="K116" s="42"/>
      <c r="L116" s="42"/>
      <c r="M116" s="42">
        <v>0</v>
      </c>
      <c r="N116" s="42">
        <v>0</v>
      </c>
      <c r="O116" s="42">
        <v>0</v>
      </c>
      <c r="P116" s="42">
        <v>0</v>
      </c>
      <c r="Q116" s="42">
        <v>0</v>
      </c>
      <c r="R116" s="42">
        <v>0</v>
      </c>
      <c r="S116" s="42">
        <v>0</v>
      </c>
      <c r="U116" s="42"/>
      <c r="V116" s="42"/>
      <c r="W116" s="42">
        <v>0</v>
      </c>
      <c r="X116" s="42">
        <v>0</v>
      </c>
      <c r="Y116" s="42">
        <v>0</v>
      </c>
      <c r="Z116" s="42">
        <v>0</v>
      </c>
      <c r="AA116" s="42">
        <v>0</v>
      </c>
      <c r="AB116" s="42">
        <v>0</v>
      </c>
      <c r="AC116" s="42">
        <v>0</v>
      </c>
      <c r="AE116" s="42"/>
      <c r="AF116" s="42"/>
      <c r="AG116" s="42">
        <v>0</v>
      </c>
      <c r="AH116" s="42">
        <v>0</v>
      </c>
      <c r="AI116" s="42">
        <v>0</v>
      </c>
      <c r="AJ116" s="42">
        <v>0</v>
      </c>
      <c r="AK116" s="42">
        <v>0</v>
      </c>
      <c r="AL116" s="42">
        <v>0</v>
      </c>
      <c r="AM116" s="42">
        <v>0</v>
      </c>
      <c r="AO116" s="42"/>
      <c r="AP116" s="42"/>
      <c r="AQ116" s="42">
        <v>0</v>
      </c>
      <c r="AR116" s="42">
        <v>0</v>
      </c>
      <c r="AS116" s="42">
        <v>0</v>
      </c>
      <c r="AT116" s="42">
        <v>0</v>
      </c>
      <c r="AU116" s="42">
        <v>0</v>
      </c>
      <c r="AV116" s="42">
        <v>0</v>
      </c>
      <c r="AW116" s="42">
        <v>0</v>
      </c>
      <c r="AY116" s="42"/>
      <c r="AZ116" s="42"/>
      <c r="BA116" s="42">
        <v>0</v>
      </c>
      <c r="BB116" s="42">
        <v>0</v>
      </c>
      <c r="BC116" s="42">
        <v>0</v>
      </c>
      <c r="BD116" s="42">
        <v>0</v>
      </c>
      <c r="BE116" s="42">
        <v>0</v>
      </c>
      <c r="BF116" s="42">
        <v>0</v>
      </c>
      <c r="BG116" s="42">
        <v>0</v>
      </c>
      <c r="BI116" s="10" t="s">
        <v>117</v>
      </c>
    </row>
    <row r="117" spans="2:61" x14ac:dyDescent="0.2">
      <c r="B117" s="8"/>
      <c r="D117" s="54" t="s">
        <v>57</v>
      </c>
    </row>
    <row r="118" spans="2:61" x14ac:dyDescent="0.2">
      <c r="B118" s="8"/>
      <c r="D118" s="54" t="s">
        <v>57</v>
      </c>
      <c r="E118" s="35" t="s">
        <v>340</v>
      </c>
    </row>
    <row r="119" spans="2:61" x14ac:dyDescent="0.2">
      <c r="B119" s="8" t="s">
        <v>341</v>
      </c>
      <c r="C119" s="5" t="s">
        <v>342</v>
      </c>
      <c r="D119" s="54" t="s">
        <v>343</v>
      </c>
      <c r="E119" s="12" t="s">
        <v>344</v>
      </c>
      <c r="F119" s="41"/>
      <c r="G119" s="42"/>
      <c r="H119" s="42"/>
      <c r="I119" s="42"/>
      <c r="K119" s="42"/>
      <c r="L119" s="42"/>
      <c r="M119" s="42">
        <v>0</v>
      </c>
      <c r="N119" s="42">
        <v>0</v>
      </c>
      <c r="O119" s="42">
        <v>0</v>
      </c>
      <c r="P119" s="42">
        <v>0</v>
      </c>
      <c r="Q119" s="42">
        <v>0</v>
      </c>
      <c r="R119" s="42">
        <v>0</v>
      </c>
      <c r="S119" s="42">
        <v>0</v>
      </c>
      <c r="U119" s="42"/>
      <c r="V119" s="42"/>
      <c r="W119" s="42">
        <v>0</v>
      </c>
      <c r="X119" s="42">
        <v>0</v>
      </c>
      <c r="Y119" s="42">
        <v>0</v>
      </c>
      <c r="Z119" s="42">
        <v>0</v>
      </c>
      <c r="AA119" s="42">
        <v>0</v>
      </c>
      <c r="AB119" s="42">
        <v>0</v>
      </c>
      <c r="AC119" s="42">
        <v>0</v>
      </c>
      <c r="AE119" s="42"/>
      <c r="AF119" s="42"/>
      <c r="AG119" s="42">
        <v>0</v>
      </c>
      <c r="AH119" s="42">
        <v>0</v>
      </c>
      <c r="AI119" s="42">
        <v>0</v>
      </c>
      <c r="AJ119" s="42">
        <v>0</v>
      </c>
      <c r="AK119" s="42">
        <v>0</v>
      </c>
      <c r="AL119" s="42">
        <v>0</v>
      </c>
      <c r="AM119" s="42">
        <v>0</v>
      </c>
      <c r="AO119" s="42"/>
      <c r="AP119" s="42"/>
      <c r="AQ119" s="42">
        <v>0</v>
      </c>
      <c r="AR119" s="42">
        <v>0</v>
      </c>
      <c r="AS119" s="42">
        <v>0</v>
      </c>
      <c r="AT119" s="42">
        <v>0</v>
      </c>
      <c r="AU119" s="42">
        <v>0</v>
      </c>
      <c r="AV119" s="42">
        <v>0</v>
      </c>
      <c r="AW119" s="42">
        <v>0</v>
      </c>
      <c r="AY119" s="42"/>
      <c r="AZ119" s="42"/>
      <c r="BA119" s="42">
        <v>0</v>
      </c>
      <c r="BB119" s="42">
        <v>0</v>
      </c>
      <c r="BC119" s="42">
        <v>0</v>
      </c>
      <c r="BD119" s="42">
        <v>0</v>
      </c>
      <c r="BE119" s="42">
        <v>0</v>
      </c>
      <c r="BF119" s="42">
        <v>0</v>
      </c>
      <c r="BG119" s="42">
        <v>0</v>
      </c>
      <c r="BI119" s="10" t="s">
        <v>117</v>
      </c>
    </row>
    <row r="120" spans="2:61" x14ac:dyDescent="0.2">
      <c r="B120" s="8" t="s">
        <v>345</v>
      </c>
      <c r="C120" s="5" t="s">
        <v>346</v>
      </c>
      <c r="D120" s="54" t="s">
        <v>347</v>
      </c>
      <c r="E120" s="12" t="s">
        <v>348</v>
      </c>
      <c r="F120" s="41"/>
      <c r="G120" s="42"/>
      <c r="H120" s="42"/>
      <c r="I120" s="42"/>
      <c r="K120" s="42"/>
      <c r="L120" s="42"/>
      <c r="M120" s="42">
        <v>26.01</v>
      </c>
      <c r="N120" s="42">
        <v>34.017000000000003</v>
      </c>
      <c r="O120" s="42">
        <v>35.296999999999997</v>
      </c>
      <c r="P120" s="42">
        <v>36.003999999999998</v>
      </c>
      <c r="Q120" s="42">
        <v>36.363999999999997</v>
      </c>
      <c r="R120" s="42">
        <v>37.389000000000003</v>
      </c>
      <c r="S120" s="42">
        <v>38.886000000000003</v>
      </c>
      <c r="U120" s="42"/>
      <c r="V120" s="42"/>
      <c r="W120" s="42">
        <v>23.917000000000002</v>
      </c>
      <c r="X120" s="42">
        <v>30.538</v>
      </c>
      <c r="Y120" s="42">
        <v>30.064</v>
      </c>
      <c r="Z120" s="42">
        <v>29.355</v>
      </c>
      <c r="AA120" s="42">
        <v>28.495999999999999</v>
      </c>
      <c r="AB120" s="42">
        <v>28.113</v>
      </c>
      <c r="AC120" s="42">
        <v>27.917000000000002</v>
      </c>
      <c r="AE120" s="42"/>
      <c r="AF120" s="42"/>
      <c r="AG120" s="42">
        <v>26.01</v>
      </c>
      <c r="AH120" s="42">
        <v>34.017000000000003</v>
      </c>
      <c r="AI120" s="42">
        <v>35.296999999999997</v>
      </c>
      <c r="AJ120" s="42">
        <v>36.003999999999998</v>
      </c>
      <c r="AK120" s="42">
        <v>36.363999999999997</v>
      </c>
      <c r="AL120" s="42">
        <v>37.389000000000003</v>
      </c>
      <c r="AM120" s="42">
        <v>38.886000000000003</v>
      </c>
      <c r="AO120" s="42"/>
      <c r="AP120" s="42"/>
      <c r="AQ120" s="42">
        <v>25.613</v>
      </c>
      <c r="AR120" s="42">
        <v>33.267000000000003</v>
      </c>
      <c r="AS120" s="42">
        <v>33.776000000000003</v>
      </c>
      <c r="AT120" s="42">
        <v>33.808</v>
      </c>
      <c r="AU120" s="42">
        <v>33.536000000000001</v>
      </c>
      <c r="AV120" s="42">
        <v>33.832999999999998</v>
      </c>
      <c r="AW120" s="42">
        <v>34.497</v>
      </c>
      <c r="AY120" s="42"/>
      <c r="AZ120" s="42"/>
      <c r="BA120" s="42">
        <v>23.904</v>
      </c>
      <c r="BB120" s="42">
        <v>30.706</v>
      </c>
      <c r="BC120" s="42">
        <v>30.373000000000001</v>
      </c>
      <c r="BD120" s="42">
        <v>29.756</v>
      </c>
      <c r="BE120" s="42">
        <v>28.841000000000001</v>
      </c>
      <c r="BF120" s="42">
        <v>28.440999999999999</v>
      </c>
      <c r="BG120" s="42">
        <v>28.367999999999999</v>
      </c>
      <c r="BI120" s="10" t="s">
        <v>117</v>
      </c>
    </row>
    <row r="121" spans="2:61" x14ac:dyDescent="0.2">
      <c r="B121" s="8" t="s">
        <v>349</v>
      </c>
      <c r="C121" s="5" t="s">
        <v>350</v>
      </c>
      <c r="D121" s="54" t="s">
        <v>351</v>
      </c>
      <c r="E121" s="12" t="s">
        <v>352</v>
      </c>
      <c r="F121" s="41"/>
      <c r="G121" s="42"/>
      <c r="H121" s="42"/>
      <c r="I121" s="42"/>
      <c r="K121" s="42"/>
      <c r="L121" s="42"/>
      <c r="M121" s="42">
        <v>0</v>
      </c>
      <c r="N121" s="42">
        <v>0</v>
      </c>
      <c r="O121" s="42">
        <v>0</v>
      </c>
      <c r="P121" s="42">
        <v>0</v>
      </c>
      <c r="Q121" s="42">
        <v>0</v>
      </c>
      <c r="R121" s="42">
        <v>0</v>
      </c>
      <c r="S121" s="42">
        <v>0</v>
      </c>
      <c r="U121" s="42"/>
      <c r="V121" s="42"/>
      <c r="W121" s="42">
        <v>0</v>
      </c>
      <c r="X121" s="42">
        <v>0</v>
      </c>
      <c r="Y121" s="42">
        <v>0</v>
      </c>
      <c r="Z121" s="42">
        <v>0</v>
      </c>
      <c r="AA121" s="42">
        <v>0</v>
      </c>
      <c r="AB121" s="42">
        <v>0</v>
      </c>
      <c r="AC121" s="42">
        <v>0</v>
      </c>
      <c r="AE121" s="42"/>
      <c r="AF121" s="42"/>
      <c r="AG121" s="42">
        <v>0</v>
      </c>
      <c r="AH121" s="42">
        <v>0</v>
      </c>
      <c r="AI121" s="42">
        <v>0</v>
      </c>
      <c r="AJ121" s="42">
        <v>0</v>
      </c>
      <c r="AK121" s="42">
        <v>0</v>
      </c>
      <c r="AL121" s="42">
        <v>0</v>
      </c>
      <c r="AM121" s="42">
        <v>0</v>
      </c>
      <c r="AO121" s="42"/>
      <c r="AP121" s="42"/>
      <c r="AQ121" s="42">
        <v>0</v>
      </c>
      <c r="AR121" s="42">
        <v>0</v>
      </c>
      <c r="AS121" s="42">
        <v>0</v>
      </c>
      <c r="AT121" s="42">
        <v>0</v>
      </c>
      <c r="AU121" s="42">
        <v>0</v>
      </c>
      <c r="AV121" s="42">
        <v>0</v>
      </c>
      <c r="AW121" s="42">
        <v>0</v>
      </c>
      <c r="AY121" s="42"/>
      <c r="AZ121" s="42"/>
      <c r="BA121" s="42">
        <v>0</v>
      </c>
      <c r="BB121" s="42">
        <v>0</v>
      </c>
      <c r="BC121" s="42">
        <v>0</v>
      </c>
      <c r="BD121" s="42">
        <v>0</v>
      </c>
      <c r="BE121" s="42">
        <v>0</v>
      </c>
      <c r="BF121" s="42">
        <v>0</v>
      </c>
      <c r="BG121" s="42">
        <v>0</v>
      </c>
      <c r="BI121" s="10" t="s">
        <v>117</v>
      </c>
    </row>
    <row r="122" spans="2:61" x14ac:dyDescent="0.2">
      <c r="B122" s="8" t="s">
        <v>353</v>
      </c>
      <c r="C122" s="5" t="s">
        <v>354</v>
      </c>
      <c r="D122" s="54" t="s">
        <v>355</v>
      </c>
      <c r="E122" s="12" t="s">
        <v>356</v>
      </c>
      <c r="F122" s="41"/>
      <c r="G122" s="42"/>
      <c r="H122" s="42"/>
      <c r="I122" s="42"/>
      <c r="K122" s="42"/>
      <c r="L122" s="42"/>
      <c r="M122" s="42">
        <v>0</v>
      </c>
      <c r="N122" s="42">
        <v>0</v>
      </c>
      <c r="O122" s="42">
        <v>0</v>
      </c>
      <c r="P122" s="42">
        <v>0</v>
      </c>
      <c r="Q122" s="42">
        <v>0</v>
      </c>
      <c r="R122" s="42">
        <v>0</v>
      </c>
      <c r="S122" s="42">
        <v>0</v>
      </c>
      <c r="U122" s="42"/>
      <c r="V122" s="42"/>
      <c r="W122" s="42">
        <v>0</v>
      </c>
      <c r="X122" s="42">
        <v>0</v>
      </c>
      <c r="Y122" s="42">
        <v>0</v>
      </c>
      <c r="Z122" s="42">
        <v>0</v>
      </c>
      <c r="AA122" s="42">
        <v>0</v>
      </c>
      <c r="AB122" s="42">
        <v>0</v>
      </c>
      <c r="AC122" s="42">
        <v>0</v>
      </c>
      <c r="AE122" s="42"/>
      <c r="AF122" s="42"/>
      <c r="AG122" s="42">
        <v>0</v>
      </c>
      <c r="AH122" s="42">
        <v>0</v>
      </c>
      <c r="AI122" s="42">
        <v>0</v>
      </c>
      <c r="AJ122" s="42">
        <v>0</v>
      </c>
      <c r="AK122" s="42">
        <v>0</v>
      </c>
      <c r="AL122" s="42">
        <v>0</v>
      </c>
      <c r="AM122" s="42">
        <v>0</v>
      </c>
      <c r="AO122" s="42"/>
      <c r="AP122" s="42"/>
      <c r="AQ122" s="42">
        <v>0</v>
      </c>
      <c r="AR122" s="42">
        <v>0</v>
      </c>
      <c r="AS122" s="42">
        <v>0</v>
      </c>
      <c r="AT122" s="42">
        <v>0</v>
      </c>
      <c r="AU122" s="42">
        <v>0</v>
      </c>
      <c r="AV122" s="42">
        <v>0</v>
      </c>
      <c r="AW122" s="42">
        <v>0</v>
      </c>
      <c r="AY122" s="42"/>
      <c r="AZ122" s="42"/>
      <c r="BA122" s="42">
        <v>0</v>
      </c>
      <c r="BB122" s="42">
        <v>0</v>
      </c>
      <c r="BC122" s="42">
        <v>0</v>
      </c>
      <c r="BD122" s="42">
        <v>0</v>
      </c>
      <c r="BE122" s="42">
        <v>0</v>
      </c>
      <c r="BF122" s="42">
        <v>0</v>
      </c>
      <c r="BG122" s="42">
        <v>0</v>
      </c>
      <c r="BI122" s="10" t="s">
        <v>117</v>
      </c>
    </row>
    <row r="123" spans="2:61" x14ac:dyDescent="0.2">
      <c r="B123" s="8" t="s">
        <v>357</v>
      </c>
      <c r="C123" s="5" t="s">
        <v>358</v>
      </c>
      <c r="D123" s="54" t="s">
        <v>359</v>
      </c>
      <c r="E123" s="12" t="s">
        <v>360</v>
      </c>
      <c r="F123" s="41"/>
      <c r="G123" s="42"/>
      <c r="H123" s="42"/>
      <c r="I123" s="42"/>
      <c r="K123" s="42"/>
      <c r="L123" s="42"/>
      <c r="M123" s="42"/>
      <c r="N123" s="42"/>
      <c r="O123" s="42"/>
      <c r="P123" s="42"/>
      <c r="Q123" s="42"/>
      <c r="R123" s="42"/>
      <c r="S123" s="42"/>
      <c r="U123" s="42"/>
      <c r="V123" s="42"/>
      <c r="W123" s="42"/>
      <c r="X123" s="42"/>
      <c r="Y123" s="42"/>
      <c r="Z123" s="42"/>
      <c r="AA123" s="42"/>
      <c r="AB123" s="42"/>
      <c r="AC123" s="42"/>
      <c r="AE123" s="42"/>
      <c r="AF123" s="42"/>
      <c r="AG123" s="42"/>
      <c r="AH123" s="42"/>
      <c r="AI123" s="42"/>
      <c r="AJ123" s="42"/>
      <c r="AK123" s="42"/>
      <c r="AL123" s="42"/>
      <c r="AM123" s="42"/>
      <c r="AO123" s="42"/>
      <c r="AP123" s="42"/>
      <c r="AQ123" s="42"/>
      <c r="AR123" s="42"/>
      <c r="AS123" s="42"/>
      <c r="AT123" s="42"/>
      <c r="AU123" s="42"/>
      <c r="AV123" s="42"/>
      <c r="AW123" s="42"/>
      <c r="AY123" s="42"/>
      <c r="AZ123" s="42"/>
      <c r="BA123" s="42"/>
      <c r="BB123" s="42"/>
      <c r="BC123" s="42"/>
      <c r="BD123" s="42"/>
      <c r="BE123" s="42"/>
      <c r="BF123" s="42"/>
      <c r="BG123" s="42"/>
      <c r="BI123" s="10" t="s">
        <v>117</v>
      </c>
    </row>
    <row r="124" spans="2:61" x14ac:dyDescent="0.2">
      <c r="B124" s="8"/>
      <c r="D124" s="54" t="s">
        <v>57</v>
      </c>
    </row>
    <row r="125" spans="2:61" x14ac:dyDescent="0.2">
      <c r="B125" s="8"/>
      <c r="D125" s="54" t="s">
        <v>57</v>
      </c>
      <c r="E125" s="35" t="s">
        <v>361</v>
      </c>
    </row>
    <row r="126" spans="2:61" x14ac:dyDescent="0.2">
      <c r="B126" s="8" t="s">
        <v>362</v>
      </c>
      <c r="C126" s="5" t="s">
        <v>363</v>
      </c>
      <c r="D126" s="54" t="s">
        <v>364</v>
      </c>
      <c r="E126" s="12" t="s">
        <v>365</v>
      </c>
      <c r="F126" s="41"/>
      <c r="G126" s="42"/>
      <c r="H126" s="42"/>
      <c r="I126" s="42"/>
      <c r="K126" s="42"/>
      <c r="L126" s="42"/>
      <c r="M126" s="42">
        <v>1126.952</v>
      </c>
      <c r="N126" s="42">
        <v>1181.3969999999999</v>
      </c>
      <c r="O126" s="42">
        <v>1185.585</v>
      </c>
      <c r="P126" s="42">
        <v>1189.971</v>
      </c>
      <c r="Q126" s="42">
        <v>1194.5920000000001</v>
      </c>
      <c r="R126" s="42">
        <v>1198.925</v>
      </c>
      <c r="S126" s="42">
        <v>1203.9590000000001</v>
      </c>
      <c r="U126" s="42"/>
      <c r="V126" s="42"/>
      <c r="W126" s="42">
        <v>1104.289</v>
      </c>
      <c r="X126" s="42">
        <v>1143.8869999999999</v>
      </c>
      <c r="Y126" s="42">
        <v>1135.3050000000001</v>
      </c>
      <c r="Z126" s="42">
        <v>1132.7650000000001</v>
      </c>
      <c r="AA126" s="42">
        <v>1134.3820000000001</v>
      </c>
      <c r="AB126" s="42">
        <v>1138.6610000000001</v>
      </c>
      <c r="AC126" s="42">
        <v>1145.5129999999999</v>
      </c>
      <c r="AE126" s="42"/>
      <c r="AF126" s="42"/>
      <c r="AG126" s="42">
        <v>1126.952</v>
      </c>
      <c r="AH126" s="42">
        <v>1181.3969999999999</v>
      </c>
      <c r="AI126" s="42">
        <v>1185.585</v>
      </c>
      <c r="AJ126" s="42">
        <v>1189.971</v>
      </c>
      <c r="AK126" s="42">
        <v>1194.5920000000001</v>
      </c>
      <c r="AL126" s="42">
        <v>1198.925</v>
      </c>
      <c r="AM126" s="42">
        <v>1203.9590000000001</v>
      </c>
      <c r="AO126" s="42"/>
      <c r="AP126" s="42"/>
      <c r="AQ126" s="42">
        <v>1103.0989999999999</v>
      </c>
      <c r="AR126" s="42">
        <v>1151.421</v>
      </c>
      <c r="AS126" s="42">
        <v>1151.154</v>
      </c>
      <c r="AT126" s="42">
        <v>1153.192</v>
      </c>
      <c r="AU126" s="42">
        <v>1156.5830000000001</v>
      </c>
      <c r="AV126" s="42">
        <v>1161.193</v>
      </c>
      <c r="AW126" s="42">
        <v>1165.912</v>
      </c>
      <c r="AY126" s="42"/>
      <c r="AZ126" s="42"/>
      <c r="BA126" s="42">
        <v>1082.0419999999999</v>
      </c>
      <c r="BB126" s="42">
        <v>1125.29</v>
      </c>
      <c r="BC126" s="42">
        <v>1121.19</v>
      </c>
      <c r="BD126" s="42">
        <v>1121.6089999999999</v>
      </c>
      <c r="BE126" s="42">
        <v>1124.1980000000001</v>
      </c>
      <c r="BF126" s="42">
        <v>1129.3109999999999</v>
      </c>
      <c r="BG126" s="42">
        <v>1134.53</v>
      </c>
      <c r="BI126" s="10" t="s">
        <v>117</v>
      </c>
    </row>
    <row r="127" spans="2:61" x14ac:dyDescent="0.2">
      <c r="B127" s="8" t="s">
        <v>366</v>
      </c>
      <c r="C127" s="5" t="s">
        <v>367</v>
      </c>
      <c r="D127" s="54" t="s">
        <v>368</v>
      </c>
      <c r="E127" s="12" t="s">
        <v>369</v>
      </c>
      <c r="F127" s="41"/>
      <c r="G127" s="42"/>
      <c r="H127" s="42"/>
      <c r="I127" s="42"/>
      <c r="K127" s="42"/>
      <c r="L127" s="42"/>
      <c r="M127" s="42">
        <v>0</v>
      </c>
      <c r="N127" s="42">
        <v>0</v>
      </c>
      <c r="O127" s="42">
        <v>0</v>
      </c>
      <c r="P127" s="42">
        <v>0</v>
      </c>
      <c r="Q127" s="42">
        <v>0</v>
      </c>
      <c r="R127" s="42">
        <v>0</v>
      </c>
      <c r="S127" s="42">
        <v>0</v>
      </c>
      <c r="U127" s="42"/>
      <c r="V127" s="42"/>
      <c r="W127" s="42">
        <v>0</v>
      </c>
      <c r="X127" s="42">
        <v>0</v>
      </c>
      <c r="Y127" s="42">
        <v>0</v>
      </c>
      <c r="Z127" s="42">
        <v>0</v>
      </c>
      <c r="AA127" s="42">
        <v>0</v>
      </c>
      <c r="AB127" s="42">
        <v>0</v>
      </c>
      <c r="AC127" s="42">
        <v>0</v>
      </c>
      <c r="AE127" s="42"/>
      <c r="AF127" s="42"/>
      <c r="AG127" s="42">
        <v>0</v>
      </c>
      <c r="AH127" s="42">
        <v>0</v>
      </c>
      <c r="AI127" s="42">
        <v>0</v>
      </c>
      <c r="AJ127" s="42">
        <v>0</v>
      </c>
      <c r="AK127" s="42">
        <v>0</v>
      </c>
      <c r="AL127" s="42">
        <v>0</v>
      </c>
      <c r="AM127" s="42">
        <v>0</v>
      </c>
      <c r="AO127" s="42"/>
      <c r="AP127" s="42"/>
      <c r="AQ127" s="42">
        <v>0</v>
      </c>
      <c r="AR127" s="42">
        <v>0</v>
      </c>
      <c r="AS127" s="42">
        <v>0</v>
      </c>
      <c r="AT127" s="42">
        <v>0</v>
      </c>
      <c r="AU127" s="42">
        <v>0</v>
      </c>
      <c r="AV127" s="42">
        <v>0</v>
      </c>
      <c r="AW127" s="42">
        <v>0</v>
      </c>
      <c r="AY127" s="42"/>
      <c r="AZ127" s="42"/>
      <c r="BA127" s="42">
        <v>0</v>
      </c>
      <c r="BB127" s="42">
        <v>0</v>
      </c>
      <c r="BC127" s="42">
        <v>0</v>
      </c>
      <c r="BD127" s="42">
        <v>0</v>
      </c>
      <c r="BE127" s="42">
        <v>0</v>
      </c>
      <c r="BF127" s="42">
        <v>0</v>
      </c>
      <c r="BG127" s="42">
        <v>0</v>
      </c>
      <c r="BI127" s="10" t="s">
        <v>117</v>
      </c>
    </row>
    <row r="128" spans="2:61" x14ac:dyDescent="0.2">
      <c r="B128" s="8" t="s">
        <v>370</v>
      </c>
      <c r="C128" s="5" t="s">
        <v>371</v>
      </c>
      <c r="D128" s="54" t="s">
        <v>372</v>
      </c>
      <c r="E128" s="12" t="s">
        <v>373</v>
      </c>
      <c r="F128" s="41"/>
      <c r="G128" s="42"/>
      <c r="H128" s="42"/>
      <c r="I128" s="42"/>
      <c r="K128" s="42"/>
      <c r="L128" s="42"/>
      <c r="M128" s="42">
        <v>0</v>
      </c>
      <c r="N128" s="42">
        <v>0</v>
      </c>
      <c r="O128" s="42">
        <v>0</v>
      </c>
      <c r="P128" s="42">
        <v>0</v>
      </c>
      <c r="Q128" s="42">
        <v>0</v>
      </c>
      <c r="R128" s="42">
        <v>0</v>
      </c>
      <c r="S128" s="42">
        <v>0</v>
      </c>
      <c r="U128" s="42"/>
      <c r="V128" s="42"/>
      <c r="W128" s="42"/>
      <c r="X128" s="42"/>
      <c r="Y128" s="42"/>
      <c r="Z128" s="42"/>
      <c r="AA128" s="42"/>
      <c r="AB128" s="42"/>
      <c r="AC128" s="42"/>
      <c r="AE128" s="42"/>
      <c r="AF128" s="42"/>
      <c r="AG128" s="42">
        <v>0</v>
      </c>
      <c r="AH128" s="42">
        <v>0</v>
      </c>
      <c r="AI128" s="42">
        <v>0</v>
      </c>
      <c r="AJ128" s="42">
        <v>0</v>
      </c>
      <c r="AK128" s="42">
        <v>0</v>
      </c>
      <c r="AL128" s="42">
        <v>0</v>
      </c>
      <c r="AM128" s="42">
        <v>0</v>
      </c>
      <c r="AO128" s="42"/>
      <c r="AP128" s="42"/>
      <c r="AQ128" s="42"/>
      <c r="AR128" s="42"/>
      <c r="AS128" s="42"/>
      <c r="AT128" s="42"/>
      <c r="AU128" s="42"/>
      <c r="AV128" s="42"/>
      <c r="AW128" s="42"/>
      <c r="AY128" s="42"/>
      <c r="AZ128" s="42"/>
      <c r="BA128" s="42"/>
      <c r="BB128" s="42"/>
      <c r="BC128" s="42"/>
      <c r="BD128" s="42"/>
      <c r="BE128" s="42"/>
      <c r="BF128" s="42"/>
      <c r="BG128" s="42"/>
      <c r="BI128" s="10" t="s">
        <v>117</v>
      </c>
    </row>
    <row r="129" spans="2:61" x14ac:dyDescent="0.2">
      <c r="B129" s="8" t="s">
        <v>374</v>
      </c>
      <c r="C129" s="5" t="s">
        <v>375</v>
      </c>
      <c r="D129" s="54" t="s">
        <v>376</v>
      </c>
      <c r="E129" s="12" t="s">
        <v>377</v>
      </c>
      <c r="F129" s="41">
        <v>0</v>
      </c>
      <c r="G129" s="42">
        <v>0</v>
      </c>
      <c r="H129" s="42">
        <v>0</v>
      </c>
      <c r="I129" s="42">
        <v>0</v>
      </c>
      <c r="K129" s="42">
        <v>0</v>
      </c>
      <c r="L129" s="42">
        <v>0</v>
      </c>
      <c r="M129" s="42">
        <v>1126.952</v>
      </c>
      <c r="N129" s="42">
        <v>1181.3969999999999</v>
      </c>
      <c r="O129" s="42">
        <v>1185.585</v>
      </c>
      <c r="P129" s="42">
        <v>1189.971</v>
      </c>
      <c r="Q129" s="42">
        <v>1194.5920000000001</v>
      </c>
      <c r="R129" s="42">
        <v>1198.925</v>
      </c>
      <c r="S129" s="42">
        <v>1203.9590000000001</v>
      </c>
      <c r="U129" s="42">
        <v>0</v>
      </c>
      <c r="V129" s="42">
        <v>0</v>
      </c>
      <c r="W129" s="42">
        <v>1104.289</v>
      </c>
      <c r="X129" s="42">
        <v>1143.8869999999999</v>
      </c>
      <c r="Y129" s="42">
        <v>1135.3050000000001</v>
      </c>
      <c r="Z129" s="42">
        <v>1132.7650000000001</v>
      </c>
      <c r="AA129" s="42">
        <v>1134.3820000000001</v>
      </c>
      <c r="AB129" s="42">
        <v>1138.6610000000001</v>
      </c>
      <c r="AC129" s="42">
        <v>1145.5129999999999</v>
      </c>
      <c r="AE129" s="42">
        <v>0</v>
      </c>
      <c r="AF129" s="42">
        <v>0</v>
      </c>
      <c r="AG129" s="42">
        <v>1126.952</v>
      </c>
      <c r="AH129" s="42">
        <v>1181.3969999999999</v>
      </c>
      <c r="AI129" s="42">
        <v>1185.585</v>
      </c>
      <c r="AJ129" s="42">
        <v>1189.971</v>
      </c>
      <c r="AK129" s="42">
        <v>1194.5920000000001</v>
      </c>
      <c r="AL129" s="42">
        <v>1198.925</v>
      </c>
      <c r="AM129" s="42">
        <v>1203.9590000000001</v>
      </c>
      <c r="AO129" s="42">
        <v>0</v>
      </c>
      <c r="AP129" s="42">
        <v>0</v>
      </c>
      <c r="AQ129" s="42">
        <v>1103.0989999999999</v>
      </c>
      <c r="AR129" s="42">
        <v>1151.421</v>
      </c>
      <c r="AS129" s="42">
        <v>1151.154</v>
      </c>
      <c r="AT129" s="42">
        <v>1153.192</v>
      </c>
      <c r="AU129" s="42">
        <v>1156.5830000000001</v>
      </c>
      <c r="AV129" s="42">
        <v>1161.193</v>
      </c>
      <c r="AW129" s="42">
        <v>1165.912</v>
      </c>
      <c r="AY129" s="42">
        <v>0</v>
      </c>
      <c r="AZ129" s="42">
        <v>0</v>
      </c>
      <c r="BA129" s="42">
        <v>1082.0419999999999</v>
      </c>
      <c r="BB129" s="42">
        <v>1125.29</v>
      </c>
      <c r="BC129" s="42">
        <v>1121.19</v>
      </c>
      <c r="BD129" s="42">
        <v>1121.6089999999999</v>
      </c>
      <c r="BE129" s="42">
        <v>1124.1980000000001</v>
      </c>
      <c r="BF129" s="42">
        <v>1129.3109999999999</v>
      </c>
      <c r="BG129" s="42">
        <v>1134.53</v>
      </c>
      <c r="BI129" s="10" t="s">
        <v>117</v>
      </c>
    </row>
    <row r="130" spans="2:61" x14ac:dyDescent="0.2">
      <c r="B130" s="8"/>
      <c r="D130" s="54" t="s">
        <v>57</v>
      </c>
    </row>
    <row r="131" spans="2:61" x14ac:dyDescent="0.2">
      <c r="B131" s="8"/>
      <c r="D131" s="54" t="s">
        <v>57</v>
      </c>
      <c r="E131" s="35" t="s">
        <v>378</v>
      </c>
    </row>
    <row r="132" spans="2:61" x14ac:dyDescent="0.2">
      <c r="B132" s="8" t="s">
        <v>212</v>
      </c>
      <c r="C132" s="5" t="s">
        <v>213</v>
      </c>
      <c r="D132" s="54" t="s">
        <v>379</v>
      </c>
      <c r="E132" s="12" t="s">
        <v>380</v>
      </c>
      <c r="F132" s="41">
        <v>0</v>
      </c>
      <c r="G132" s="42">
        <v>0</v>
      </c>
      <c r="H132" s="42">
        <v>0</v>
      </c>
      <c r="I132" s="42">
        <v>0</v>
      </c>
      <c r="K132" s="42">
        <v>0</v>
      </c>
      <c r="L132" s="42">
        <v>0</v>
      </c>
      <c r="M132" s="42">
        <v>173.398</v>
      </c>
      <c r="N132" s="42">
        <v>226.77799999999999</v>
      </c>
      <c r="O132" s="42">
        <v>235.316</v>
      </c>
      <c r="P132" s="42">
        <v>240.02500000000001</v>
      </c>
      <c r="Q132" s="42">
        <v>242.429</v>
      </c>
      <c r="R132" s="42">
        <v>249.25700000000001</v>
      </c>
      <c r="S132" s="42">
        <v>259.23899999999998</v>
      </c>
      <c r="U132" s="42">
        <v>0</v>
      </c>
      <c r="V132" s="42">
        <v>0</v>
      </c>
      <c r="W132" s="42">
        <v>159.44499999999999</v>
      </c>
      <c r="X132" s="42">
        <v>203.58799999999999</v>
      </c>
      <c r="Y132" s="42">
        <v>200.42599999999999</v>
      </c>
      <c r="Z132" s="42">
        <v>195.702</v>
      </c>
      <c r="AA132" s="42">
        <v>189.97399999999999</v>
      </c>
      <c r="AB132" s="42">
        <v>187.42099999999999</v>
      </c>
      <c r="AC132" s="42">
        <v>186.11500000000001</v>
      </c>
      <c r="AE132" s="42">
        <v>0</v>
      </c>
      <c r="AF132" s="42">
        <v>0</v>
      </c>
      <c r="AG132" s="42">
        <v>173.398</v>
      </c>
      <c r="AH132" s="42">
        <v>226.77799999999999</v>
      </c>
      <c r="AI132" s="42">
        <v>235.316</v>
      </c>
      <c r="AJ132" s="42">
        <v>240.02500000000001</v>
      </c>
      <c r="AK132" s="42">
        <v>242.429</v>
      </c>
      <c r="AL132" s="42">
        <v>249.25700000000001</v>
      </c>
      <c r="AM132" s="42">
        <v>259.23899999999998</v>
      </c>
      <c r="AO132" s="42">
        <v>0</v>
      </c>
      <c r="AP132" s="42">
        <v>0</v>
      </c>
      <c r="AQ132" s="42">
        <v>170.75399999999999</v>
      </c>
      <c r="AR132" s="42">
        <v>221.78100000000001</v>
      </c>
      <c r="AS132" s="42">
        <v>225.17</v>
      </c>
      <c r="AT132" s="42">
        <v>225.38399999999999</v>
      </c>
      <c r="AU132" s="42">
        <v>223.57599999999999</v>
      </c>
      <c r="AV132" s="42">
        <v>225.55099999999999</v>
      </c>
      <c r="AW132" s="42">
        <v>229.982</v>
      </c>
      <c r="AY132" s="42">
        <v>0</v>
      </c>
      <c r="AZ132" s="42">
        <v>0</v>
      </c>
      <c r="BA132" s="42">
        <v>159.36199999999999</v>
      </c>
      <c r="BB132" s="42">
        <v>204.709</v>
      </c>
      <c r="BC132" s="42">
        <v>202.48699999999999</v>
      </c>
      <c r="BD132" s="42">
        <v>198.375</v>
      </c>
      <c r="BE132" s="42">
        <v>192.27099999999999</v>
      </c>
      <c r="BF132" s="42">
        <v>189.60400000000001</v>
      </c>
      <c r="BG132" s="42">
        <v>189.11699999999999</v>
      </c>
      <c r="BI132" s="10" t="s">
        <v>117</v>
      </c>
    </row>
    <row r="133" spans="2:61" x14ac:dyDescent="0.2">
      <c r="B133" s="8" t="s">
        <v>241</v>
      </c>
      <c r="C133" s="5" t="s">
        <v>242</v>
      </c>
      <c r="D133" s="54" t="s">
        <v>381</v>
      </c>
      <c r="E133" s="12" t="s">
        <v>382</v>
      </c>
      <c r="F133" s="41">
        <v>0</v>
      </c>
      <c r="G133" s="42">
        <v>0</v>
      </c>
      <c r="H133" s="42">
        <v>0</v>
      </c>
      <c r="I133" s="42">
        <v>0</v>
      </c>
      <c r="K133" s="42">
        <v>0</v>
      </c>
      <c r="L133" s="42">
        <v>0</v>
      </c>
      <c r="M133" s="42">
        <v>173.398</v>
      </c>
      <c r="N133" s="42">
        <v>226.77799999999999</v>
      </c>
      <c r="O133" s="42">
        <v>235.316</v>
      </c>
      <c r="P133" s="42">
        <v>240.02500000000001</v>
      </c>
      <c r="Q133" s="42">
        <v>242.429</v>
      </c>
      <c r="R133" s="42">
        <v>249.25700000000001</v>
      </c>
      <c r="S133" s="42">
        <v>259.23899999999998</v>
      </c>
      <c r="U133" s="42">
        <v>0</v>
      </c>
      <c r="V133" s="42">
        <v>0</v>
      </c>
      <c r="W133" s="42">
        <v>159.44499999999999</v>
      </c>
      <c r="X133" s="42">
        <v>203.58799999999999</v>
      </c>
      <c r="Y133" s="42">
        <v>200.42599999999999</v>
      </c>
      <c r="Z133" s="42">
        <v>195.702</v>
      </c>
      <c r="AA133" s="42">
        <v>189.97399999999999</v>
      </c>
      <c r="AB133" s="42">
        <v>187.42099999999999</v>
      </c>
      <c r="AC133" s="42">
        <v>186.11500000000001</v>
      </c>
      <c r="AE133" s="42">
        <v>0</v>
      </c>
      <c r="AF133" s="42">
        <v>0</v>
      </c>
      <c r="AG133" s="42">
        <v>173.398</v>
      </c>
      <c r="AH133" s="42">
        <v>226.77799999999999</v>
      </c>
      <c r="AI133" s="42">
        <v>235.316</v>
      </c>
      <c r="AJ133" s="42">
        <v>240.02500000000001</v>
      </c>
      <c r="AK133" s="42">
        <v>242.429</v>
      </c>
      <c r="AL133" s="42">
        <v>249.25700000000001</v>
      </c>
      <c r="AM133" s="42">
        <v>259.23899999999998</v>
      </c>
      <c r="AO133" s="42">
        <v>0</v>
      </c>
      <c r="AP133" s="42">
        <v>0</v>
      </c>
      <c r="AQ133" s="42">
        <v>170.75399999999999</v>
      </c>
      <c r="AR133" s="42">
        <v>221.78100000000001</v>
      </c>
      <c r="AS133" s="42">
        <v>225.17</v>
      </c>
      <c r="AT133" s="42">
        <v>225.38399999999999</v>
      </c>
      <c r="AU133" s="42">
        <v>223.57599999999999</v>
      </c>
      <c r="AV133" s="42">
        <v>225.55099999999999</v>
      </c>
      <c r="AW133" s="42">
        <v>229.982</v>
      </c>
      <c r="AY133" s="42">
        <v>0</v>
      </c>
      <c r="AZ133" s="42">
        <v>0</v>
      </c>
      <c r="BA133" s="42">
        <v>159.36199999999999</v>
      </c>
      <c r="BB133" s="42">
        <v>204.709</v>
      </c>
      <c r="BC133" s="42">
        <v>202.48699999999999</v>
      </c>
      <c r="BD133" s="42">
        <v>198.375</v>
      </c>
      <c r="BE133" s="42">
        <v>192.27099999999999</v>
      </c>
      <c r="BF133" s="42">
        <v>189.60400000000001</v>
      </c>
      <c r="BG133" s="42">
        <v>189.11699999999999</v>
      </c>
      <c r="BI133" s="10" t="s">
        <v>117</v>
      </c>
    </row>
    <row r="134" spans="2:61" x14ac:dyDescent="0.2">
      <c r="B134" s="8" t="s">
        <v>287</v>
      </c>
      <c r="C134" s="5" t="s">
        <v>288</v>
      </c>
      <c r="D134" s="54" t="s">
        <v>383</v>
      </c>
      <c r="E134" s="12" t="s">
        <v>384</v>
      </c>
      <c r="F134" s="41">
        <v>0</v>
      </c>
      <c r="G134" s="42">
        <v>0</v>
      </c>
      <c r="H134" s="42">
        <v>0</v>
      </c>
      <c r="I134" s="42">
        <v>0</v>
      </c>
      <c r="K134" s="42">
        <v>0</v>
      </c>
      <c r="L134" s="42">
        <v>0</v>
      </c>
      <c r="M134" s="42">
        <v>173.398</v>
      </c>
      <c r="N134" s="42">
        <v>226.77799999999999</v>
      </c>
      <c r="O134" s="42">
        <v>235.316</v>
      </c>
      <c r="P134" s="42">
        <v>240.02500000000001</v>
      </c>
      <c r="Q134" s="42">
        <v>242.429</v>
      </c>
      <c r="R134" s="42">
        <v>249.25700000000001</v>
      </c>
      <c r="S134" s="42">
        <v>259.23899999999998</v>
      </c>
      <c r="U134" s="42">
        <v>0</v>
      </c>
      <c r="V134" s="42">
        <v>0</v>
      </c>
      <c r="W134" s="42">
        <v>159.44499999999999</v>
      </c>
      <c r="X134" s="42">
        <v>203.58799999999999</v>
      </c>
      <c r="Y134" s="42">
        <v>200.42599999999999</v>
      </c>
      <c r="Z134" s="42">
        <v>195.702</v>
      </c>
      <c r="AA134" s="42">
        <v>189.97399999999999</v>
      </c>
      <c r="AB134" s="42">
        <v>187.42099999999999</v>
      </c>
      <c r="AC134" s="42">
        <v>186.11500000000001</v>
      </c>
      <c r="AE134" s="42">
        <v>0</v>
      </c>
      <c r="AF134" s="42">
        <v>0</v>
      </c>
      <c r="AG134" s="42">
        <v>173.398</v>
      </c>
      <c r="AH134" s="42">
        <v>226.77799999999999</v>
      </c>
      <c r="AI134" s="42">
        <v>235.316</v>
      </c>
      <c r="AJ134" s="42">
        <v>240.02500000000001</v>
      </c>
      <c r="AK134" s="42">
        <v>242.429</v>
      </c>
      <c r="AL134" s="42">
        <v>249.25700000000001</v>
      </c>
      <c r="AM134" s="42">
        <v>259.23899999999998</v>
      </c>
      <c r="AO134" s="42">
        <v>0</v>
      </c>
      <c r="AP134" s="42">
        <v>0</v>
      </c>
      <c r="AQ134" s="42">
        <v>170.75399999999999</v>
      </c>
      <c r="AR134" s="42">
        <v>221.78100000000001</v>
      </c>
      <c r="AS134" s="42">
        <v>225.17</v>
      </c>
      <c r="AT134" s="42">
        <v>225.38399999999999</v>
      </c>
      <c r="AU134" s="42">
        <v>223.57599999999999</v>
      </c>
      <c r="AV134" s="42">
        <v>225.55099999999999</v>
      </c>
      <c r="AW134" s="42">
        <v>229.982</v>
      </c>
      <c r="AY134" s="42">
        <v>0</v>
      </c>
      <c r="AZ134" s="42">
        <v>0</v>
      </c>
      <c r="BA134" s="42">
        <v>159.36199999999999</v>
      </c>
      <c r="BB134" s="42">
        <v>204.709</v>
      </c>
      <c r="BC134" s="42">
        <v>202.48699999999999</v>
      </c>
      <c r="BD134" s="42">
        <v>198.375</v>
      </c>
      <c r="BE134" s="42">
        <v>192.27099999999999</v>
      </c>
      <c r="BF134" s="42">
        <v>189.60400000000001</v>
      </c>
      <c r="BG134" s="42">
        <v>189.11699999999999</v>
      </c>
      <c r="BI134" s="10" t="s">
        <v>117</v>
      </c>
    </row>
    <row r="135" spans="2:61" x14ac:dyDescent="0.2">
      <c r="B135" s="8" t="s">
        <v>385</v>
      </c>
      <c r="C135" s="5" t="s">
        <v>291</v>
      </c>
      <c r="D135" s="54" t="s">
        <v>386</v>
      </c>
      <c r="E135" s="12" t="s">
        <v>387</v>
      </c>
      <c r="F135" s="41"/>
      <c r="G135" s="42"/>
      <c r="H135" s="42"/>
      <c r="I135" s="42"/>
      <c r="K135" s="42"/>
      <c r="L135" s="42"/>
      <c r="M135" s="42"/>
      <c r="N135" s="42"/>
      <c r="O135" s="42"/>
      <c r="P135" s="42"/>
      <c r="Q135" s="42"/>
      <c r="R135" s="42"/>
      <c r="S135" s="42"/>
      <c r="U135" s="42"/>
      <c r="V135" s="42"/>
      <c r="W135" s="42"/>
      <c r="X135" s="42"/>
      <c r="Y135" s="42"/>
      <c r="Z135" s="42"/>
      <c r="AA135" s="42"/>
      <c r="AB135" s="42"/>
      <c r="AC135" s="42"/>
      <c r="AE135" s="42"/>
      <c r="AF135" s="42"/>
      <c r="AG135" s="42"/>
      <c r="AH135" s="42"/>
      <c r="AI135" s="42"/>
      <c r="AJ135" s="42"/>
      <c r="AK135" s="42"/>
      <c r="AL135" s="42"/>
      <c r="AM135" s="42"/>
      <c r="AO135" s="42"/>
      <c r="AP135" s="42"/>
      <c r="AQ135" s="42"/>
      <c r="AR135" s="42"/>
      <c r="AS135" s="42"/>
      <c r="AT135" s="42"/>
      <c r="AU135" s="42"/>
      <c r="AV135" s="42"/>
      <c r="AW135" s="42"/>
      <c r="AY135" s="42"/>
      <c r="AZ135" s="42"/>
      <c r="BA135" s="42"/>
      <c r="BB135" s="42"/>
      <c r="BC135" s="42"/>
      <c r="BD135" s="42"/>
      <c r="BE135" s="42"/>
      <c r="BF135" s="42"/>
      <c r="BG135" s="42"/>
      <c r="BI135" s="10" t="s">
        <v>117</v>
      </c>
    </row>
    <row r="136" spans="2:61" x14ac:dyDescent="0.2">
      <c r="B136" s="8" t="s">
        <v>388</v>
      </c>
      <c r="C136" s="5" t="s">
        <v>389</v>
      </c>
      <c r="D136" s="54" t="s">
        <v>390</v>
      </c>
      <c r="E136" s="12" t="s">
        <v>391</v>
      </c>
      <c r="F136" s="41"/>
      <c r="G136" s="42"/>
      <c r="H136" s="42"/>
      <c r="I136" s="42"/>
      <c r="K136" s="42"/>
      <c r="L136" s="42"/>
      <c r="M136" s="42">
        <v>275.70299999999997</v>
      </c>
      <c r="N136" s="42">
        <v>288.99799999999999</v>
      </c>
      <c r="O136" s="42">
        <v>289.66699999999997</v>
      </c>
      <c r="P136" s="42">
        <v>290.40199999999999</v>
      </c>
      <c r="Q136" s="42">
        <v>291.65899999999999</v>
      </c>
      <c r="R136" s="42">
        <v>292.029</v>
      </c>
      <c r="S136" s="42">
        <v>293.14</v>
      </c>
      <c r="U136" s="42"/>
      <c r="V136" s="42"/>
      <c r="W136" s="42">
        <v>270.76100000000002</v>
      </c>
      <c r="X136" s="42">
        <v>280.81799999999998</v>
      </c>
      <c r="Y136" s="42">
        <v>278.709</v>
      </c>
      <c r="Z136" s="42">
        <v>277.93700000000001</v>
      </c>
      <c r="AA136" s="42">
        <v>278.541</v>
      </c>
      <c r="AB136" s="42">
        <v>278.899</v>
      </c>
      <c r="AC136" s="42">
        <v>280.40499999999997</v>
      </c>
      <c r="AE136" s="42"/>
      <c r="AF136" s="42"/>
      <c r="AG136" s="42">
        <v>275.70299999999997</v>
      </c>
      <c r="AH136" s="42">
        <v>288.99799999999999</v>
      </c>
      <c r="AI136" s="42">
        <v>289.66699999999997</v>
      </c>
      <c r="AJ136" s="42">
        <v>290.40199999999999</v>
      </c>
      <c r="AK136" s="42">
        <v>291.65899999999999</v>
      </c>
      <c r="AL136" s="42">
        <v>292.029</v>
      </c>
      <c r="AM136" s="42">
        <v>293.14</v>
      </c>
      <c r="AO136" s="42"/>
      <c r="AP136" s="42"/>
      <c r="AQ136" s="42">
        <v>270.50099999999998</v>
      </c>
      <c r="AR136" s="42">
        <v>282.23399999999998</v>
      </c>
      <c r="AS136" s="42">
        <v>281.93299999999999</v>
      </c>
      <c r="AT136" s="42">
        <v>282.15800000000002</v>
      </c>
      <c r="AU136" s="42">
        <v>283.14800000000002</v>
      </c>
      <c r="AV136" s="42">
        <v>283.72899999999998</v>
      </c>
      <c r="AW136" s="42">
        <v>284.77100000000002</v>
      </c>
      <c r="AY136" s="42"/>
      <c r="AZ136" s="42"/>
      <c r="BA136" s="42">
        <v>265.91000000000003</v>
      </c>
      <c r="BB136" s="42">
        <v>276.762</v>
      </c>
      <c r="BC136" s="42">
        <v>275.62799999999999</v>
      </c>
      <c r="BD136" s="42">
        <v>275.5</v>
      </c>
      <c r="BE136" s="42">
        <v>276.315</v>
      </c>
      <c r="BF136" s="42">
        <v>276.85500000000002</v>
      </c>
      <c r="BG136" s="42">
        <v>278.005</v>
      </c>
      <c r="BI136" s="10" t="s">
        <v>117</v>
      </c>
    </row>
    <row r="137" spans="2:61" x14ac:dyDescent="0.2">
      <c r="B137" s="8" t="s">
        <v>392</v>
      </c>
      <c r="C137" s="5" t="s">
        <v>393</v>
      </c>
      <c r="D137" s="54" t="s">
        <v>394</v>
      </c>
      <c r="E137" s="12" t="s">
        <v>395</v>
      </c>
      <c r="F137" s="41"/>
      <c r="G137" s="42"/>
      <c r="H137" s="42"/>
      <c r="I137" s="42"/>
      <c r="K137" s="42"/>
      <c r="L137" s="42"/>
      <c r="M137" s="42"/>
      <c r="N137" s="42"/>
      <c r="O137" s="42"/>
      <c r="P137" s="42"/>
      <c r="Q137" s="42"/>
      <c r="R137" s="42"/>
      <c r="S137" s="42"/>
      <c r="U137" s="42"/>
      <c r="V137" s="42"/>
      <c r="W137" s="42"/>
      <c r="X137" s="42"/>
      <c r="Y137" s="42"/>
      <c r="Z137" s="42"/>
      <c r="AA137" s="42"/>
      <c r="AB137" s="42"/>
      <c r="AC137" s="42"/>
      <c r="AE137" s="42"/>
      <c r="AF137" s="42"/>
      <c r="AG137" s="42"/>
      <c r="AH137" s="42"/>
      <c r="AI137" s="42"/>
      <c r="AJ137" s="42"/>
      <c r="AK137" s="42"/>
      <c r="AL137" s="42"/>
      <c r="AM137" s="42"/>
      <c r="AO137" s="42"/>
      <c r="AP137" s="42"/>
      <c r="AQ137" s="42"/>
      <c r="AR137" s="42"/>
      <c r="AS137" s="42"/>
      <c r="AT137" s="42"/>
      <c r="AU137" s="42"/>
      <c r="AV137" s="42"/>
      <c r="AW137" s="42"/>
      <c r="AY137" s="42"/>
      <c r="AZ137" s="42"/>
      <c r="BA137" s="42"/>
      <c r="BB137" s="42"/>
      <c r="BC137" s="42"/>
      <c r="BD137" s="42"/>
      <c r="BE137" s="42"/>
      <c r="BF137" s="42"/>
      <c r="BG137" s="42"/>
      <c r="BI137" s="10" t="s">
        <v>117</v>
      </c>
    </row>
    <row r="138" spans="2:61" x14ac:dyDescent="0.2">
      <c r="B138" s="8" t="s">
        <v>396</v>
      </c>
      <c r="C138" s="5" t="s">
        <v>397</v>
      </c>
      <c r="D138" s="54" t="s">
        <v>398</v>
      </c>
      <c r="E138" s="12" t="s">
        <v>399</v>
      </c>
      <c r="F138" s="41"/>
      <c r="G138" s="42"/>
      <c r="H138" s="42"/>
      <c r="I138" s="42"/>
      <c r="K138" s="42"/>
      <c r="L138" s="42"/>
      <c r="M138" s="42">
        <v>1126.952</v>
      </c>
      <c r="N138" s="42">
        <v>1181.3969999999999</v>
      </c>
      <c r="O138" s="42">
        <v>1185.585</v>
      </c>
      <c r="P138" s="42">
        <v>1189.971</v>
      </c>
      <c r="Q138" s="42">
        <v>1194.5920000000001</v>
      </c>
      <c r="R138" s="42">
        <v>1198.925</v>
      </c>
      <c r="S138" s="42">
        <v>1203.9590000000001</v>
      </c>
      <c r="U138" s="42"/>
      <c r="V138" s="42"/>
      <c r="W138" s="42">
        <v>1104.289</v>
      </c>
      <c r="X138" s="42">
        <v>1143.8869999999999</v>
      </c>
      <c r="Y138" s="42">
        <v>1135.3050000000001</v>
      </c>
      <c r="Z138" s="42">
        <v>1132.7650000000001</v>
      </c>
      <c r="AA138" s="42">
        <v>1134.3820000000001</v>
      </c>
      <c r="AB138" s="42">
        <v>1138.6610000000001</v>
      </c>
      <c r="AC138" s="42">
        <v>1145.5129999999999</v>
      </c>
      <c r="AE138" s="42"/>
      <c r="AF138" s="42"/>
      <c r="AG138" s="42">
        <v>1126.952</v>
      </c>
      <c r="AH138" s="42">
        <v>1181.3969999999999</v>
      </c>
      <c r="AI138" s="42">
        <v>1185.585</v>
      </c>
      <c r="AJ138" s="42">
        <v>1189.971</v>
      </c>
      <c r="AK138" s="42">
        <v>1194.5920000000001</v>
      </c>
      <c r="AL138" s="42">
        <v>1198.925</v>
      </c>
      <c r="AM138" s="42">
        <v>1203.9590000000001</v>
      </c>
      <c r="AO138" s="42"/>
      <c r="AP138" s="42"/>
      <c r="AQ138" s="42">
        <v>1103.0989999999999</v>
      </c>
      <c r="AR138" s="42">
        <v>1151.421</v>
      </c>
      <c r="AS138" s="42">
        <v>1151.154</v>
      </c>
      <c r="AT138" s="42">
        <v>1153.192</v>
      </c>
      <c r="AU138" s="42">
        <v>1156.5830000000001</v>
      </c>
      <c r="AV138" s="42">
        <v>1161.193</v>
      </c>
      <c r="AW138" s="42">
        <v>1165.912</v>
      </c>
      <c r="AY138" s="42"/>
      <c r="AZ138" s="42"/>
      <c r="BA138" s="42">
        <v>1082.0419999999999</v>
      </c>
      <c r="BB138" s="42">
        <v>1125.29</v>
      </c>
      <c r="BC138" s="42">
        <v>1121.19</v>
      </c>
      <c r="BD138" s="42">
        <v>1121.6089999999999</v>
      </c>
      <c r="BE138" s="42">
        <v>1124.1980000000001</v>
      </c>
      <c r="BF138" s="42">
        <v>1129.3109999999999</v>
      </c>
      <c r="BG138" s="42">
        <v>1134.53</v>
      </c>
      <c r="BI138" s="10" t="s">
        <v>117</v>
      </c>
    </row>
    <row r="139" spans="2:61" x14ac:dyDescent="0.2">
      <c r="B139" s="8"/>
      <c r="D139" s="54" t="s">
        <v>57</v>
      </c>
    </row>
    <row r="140" spans="2:61" x14ac:dyDescent="0.2">
      <c r="B140" s="8" t="s">
        <v>400</v>
      </c>
      <c r="C140" s="5" t="s">
        <v>401</v>
      </c>
      <c r="D140" s="54" t="s">
        <v>402</v>
      </c>
      <c r="E140" s="12" t="s">
        <v>403</v>
      </c>
      <c r="F140" s="55"/>
      <c r="G140" s="56"/>
      <c r="H140" s="56"/>
      <c r="I140" s="56"/>
      <c r="K140" s="55"/>
      <c r="L140" s="56"/>
      <c r="M140" s="56">
        <v>0.62893040699593405</v>
      </c>
      <c r="N140" s="56">
        <v>0.78470439241794099</v>
      </c>
      <c r="O140" s="55">
        <v>0.81236730452554196</v>
      </c>
      <c r="P140" s="56">
        <v>0.82652667681352099</v>
      </c>
      <c r="Q140" s="56">
        <v>0.83120699172664003</v>
      </c>
      <c r="R140" s="56">
        <v>0.85353509411736495</v>
      </c>
      <c r="S140" s="56">
        <v>0.88435218666848603</v>
      </c>
      <c r="U140" s="55"/>
      <c r="V140" s="56"/>
      <c r="W140" s="56">
        <v>0.58887727553081903</v>
      </c>
      <c r="X140" s="56">
        <v>0.72498201682228303</v>
      </c>
      <c r="Y140" s="55">
        <v>0.71912281268276201</v>
      </c>
      <c r="Z140" s="56">
        <v>0.70412359635457</v>
      </c>
      <c r="AA140" s="56">
        <v>0.68203244764684501</v>
      </c>
      <c r="AB140" s="56">
        <v>0.67200312657987304</v>
      </c>
      <c r="AC140" s="56">
        <v>0.66373638130561197</v>
      </c>
      <c r="AE140" s="55"/>
      <c r="AF140" s="56"/>
      <c r="AG140" s="56">
        <v>0.62893040699593405</v>
      </c>
      <c r="AH140" s="56">
        <v>0.78470439241794099</v>
      </c>
      <c r="AI140" s="55">
        <v>0.81236730452554196</v>
      </c>
      <c r="AJ140" s="56">
        <v>0.82652667681352099</v>
      </c>
      <c r="AK140" s="56">
        <v>0.83120699172664003</v>
      </c>
      <c r="AL140" s="56">
        <v>0.85353509411736495</v>
      </c>
      <c r="AM140" s="56">
        <v>0.88435218666848603</v>
      </c>
      <c r="AO140" s="55"/>
      <c r="AP140" s="56"/>
      <c r="AQ140" s="56">
        <v>0.63125090110572601</v>
      </c>
      <c r="AR140" s="56">
        <v>0.78580539552286399</v>
      </c>
      <c r="AS140" s="55">
        <v>0.79866493102971303</v>
      </c>
      <c r="AT140" s="56">
        <v>0.79878649550960801</v>
      </c>
      <c r="AU140" s="56">
        <v>0.78960826140393003</v>
      </c>
      <c r="AV140" s="56">
        <v>0.79495222553915901</v>
      </c>
      <c r="AW140" s="56">
        <v>0.80760330230255195</v>
      </c>
      <c r="AY140" s="55"/>
      <c r="AZ140" s="56"/>
      <c r="BA140" s="56">
        <v>0.599308036553721</v>
      </c>
      <c r="BB140" s="56">
        <v>0.739657178369863</v>
      </c>
      <c r="BC140" s="55">
        <v>0.73463871595048402</v>
      </c>
      <c r="BD140" s="56">
        <v>0.72005444646098005</v>
      </c>
      <c r="BE140" s="56">
        <v>0.69583989287588399</v>
      </c>
      <c r="BF140" s="56">
        <v>0.68484946993913798</v>
      </c>
      <c r="BG140" s="56">
        <v>0.68026474343986598</v>
      </c>
      <c r="BI140" s="10" t="s">
        <v>117</v>
      </c>
    </row>
    <row r="141" spans="2:61" x14ac:dyDescent="0.2">
      <c r="B141" s="8" t="s">
        <v>404</v>
      </c>
      <c r="C141" s="5" t="s">
        <v>405</v>
      </c>
      <c r="D141" s="54" t="s">
        <v>406</v>
      </c>
      <c r="E141" s="12" t="s">
        <v>407</v>
      </c>
      <c r="F141" s="55"/>
      <c r="G141" s="56"/>
      <c r="H141" s="56"/>
      <c r="I141" s="56"/>
      <c r="K141" s="55"/>
      <c r="L141" s="56"/>
      <c r="M141" s="56"/>
      <c r="N141" s="56"/>
      <c r="O141" s="55"/>
      <c r="P141" s="56"/>
      <c r="Q141" s="56"/>
      <c r="R141" s="56"/>
      <c r="S141" s="56"/>
      <c r="U141" s="55"/>
      <c r="V141" s="56"/>
      <c r="W141" s="56"/>
      <c r="X141" s="56"/>
      <c r="Y141" s="55"/>
      <c r="Z141" s="56"/>
      <c r="AA141" s="56"/>
      <c r="AB141" s="56"/>
      <c r="AC141" s="56"/>
      <c r="AE141" s="55"/>
      <c r="AF141" s="56"/>
      <c r="AG141" s="56"/>
      <c r="AH141" s="56"/>
      <c r="AI141" s="55"/>
      <c r="AJ141" s="56"/>
      <c r="AK141" s="56"/>
      <c r="AL141" s="56"/>
      <c r="AM141" s="56"/>
      <c r="AO141" s="55"/>
      <c r="AP141" s="56"/>
      <c r="AQ141" s="56"/>
      <c r="AR141" s="56"/>
      <c r="AS141" s="55"/>
      <c r="AT141" s="56"/>
      <c r="AU141" s="56"/>
      <c r="AV141" s="56"/>
      <c r="AW141" s="56"/>
      <c r="AY141" s="55"/>
      <c r="AZ141" s="56"/>
      <c r="BA141" s="56"/>
      <c r="BB141" s="56"/>
      <c r="BC141" s="55"/>
      <c r="BD141" s="56"/>
      <c r="BE141" s="56"/>
      <c r="BF141" s="56"/>
      <c r="BG141" s="56"/>
      <c r="BI141" s="10" t="s">
        <v>117</v>
      </c>
    </row>
    <row r="142" spans="2:61" x14ac:dyDescent="0.2">
      <c r="B142" s="8" t="s">
        <v>408</v>
      </c>
      <c r="C142" s="5" t="s">
        <v>409</v>
      </c>
      <c r="D142" s="54" t="s">
        <v>410</v>
      </c>
      <c r="E142" s="12" t="s">
        <v>411</v>
      </c>
      <c r="F142" s="55"/>
      <c r="G142" s="56"/>
      <c r="H142" s="56"/>
      <c r="I142" s="56"/>
      <c r="K142" s="55"/>
      <c r="L142" s="56"/>
      <c r="M142" s="56">
        <v>0.62893040699593405</v>
      </c>
      <c r="N142" s="56">
        <v>0.78470439241794099</v>
      </c>
      <c r="O142" s="55">
        <v>0.81236730452554196</v>
      </c>
      <c r="P142" s="56">
        <v>0.82652667681352099</v>
      </c>
      <c r="Q142" s="56">
        <v>0.83120699172664003</v>
      </c>
      <c r="R142" s="56">
        <v>0.85353509411736495</v>
      </c>
      <c r="S142" s="56">
        <v>0.88435218666848603</v>
      </c>
      <c r="U142" s="55"/>
      <c r="V142" s="56"/>
      <c r="W142" s="56">
        <v>0.58887727553081903</v>
      </c>
      <c r="X142" s="56">
        <v>0.72498201682228303</v>
      </c>
      <c r="Y142" s="55">
        <v>0.71912281268276201</v>
      </c>
      <c r="Z142" s="56">
        <v>0.70412359635457</v>
      </c>
      <c r="AA142" s="56">
        <v>0.68203244764684501</v>
      </c>
      <c r="AB142" s="56">
        <v>0.67200312657987304</v>
      </c>
      <c r="AC142" s="56">
        <v>0.66373638130561197</v>
      </c>
      <c r="AE142" s="55"/>
      <c r="AF142" s="56"/>
      <c r="AG142" s="56">
        <v>0.62893040699593405</v>
      </c>
      <c r="AH142" s="56">
        <v>0.78470439241794099</v>
      </c>
      <c r="AI142" s="55">
        <v>0.81236730452554196</v>
      </c>
      <c r="AJ142" s="56">
        <v>0.82652667681352099</v>
      </c>
      <c r="AK142" s="56">
        <v>0.83120699172664003</v>
      </c>
      <c r="AL142" s="56">
        <v>0.85353509411736495</v>
      </c>
      <c r="AM142" s="56">
        <v>0.88435218666848603</v>
      </c>
      <c r="AO142" s="55"/>
      <c r="AP142" s="56"/>
      <c r="AQ142" s="56">
        <v>0.63125090110572601</v>
      </c>
      <c r="AR142" s="56">
        <v>0.78580539552286399</v>
      </c>
      <c r="AS142" s="55">
        <v>0.79866493102971303</v>
      </c>
      <c r="AT142" s="56">
        <v>0.79878649550960801</v>
      </c>
      <c r="AU142" s="56">
        <v>0.78960826140393003</v>
      </c>
      <c r="AV142" s="56">
        <v>0.79495222553915901</v>
      </c>
      <c r="AW142" s="56">
        <v>0.80760330230255195</v>
      </c>
      <c r="AY142" s="55"/>
      <c r="AZ142" s="56"/>
      <c r="BA142" s="56">
        <v>0.599308036553721</v>
      </c>
      <c r="BB142" s="56">
        <v>0.739657178369863</v>
      </c>
      <c r="BC142" s="55">
        <v>0.73463871595048402</v>
      </c>
      <c r="BD142" s="56">
        <v>0.72005444646098005</v>
      </c>
      <c r="BE142" s="56">
        <v>0.69583989287588399</v>
      </c>
      <c r="BF142" s="56">
        <v>0.68484946993913798</v>
      </c>
      <c r="BG142" s="56">
        <v>0.68026474343986598</v>
      </c>
      <c r="BI142" s="10" t="s">
        <v>117</v>
      </c>
    </row>
    <row r="143" spans="2:61" x14ac:dyDescent="0.2">
      <c r="B143" s="8" t="s">
        <v>412</v>
      </c>
      <c r="C143" s="5" t="s">
        <v>413</v>
      </c>
      <c r="D143" s="54" t="s">
        <v>414</v>
      </c>
      <c r="E143" s="12" t="s">
        <v>415</v>
      </c>
      <c r="F143" s="55"/>
      <c r="G143" s="56"/>
      <c r="H143" s="56"/>
      <c r="I143" s="56"/>
      <c r="K143" s="55"/>
      <c r="L143" s="56"/>
      <c r="M143" s="56"/>
      <c r="N143" s="56"/>
      <c r="O143" s="55"/>
      <c r="P143" s="56"/>
      <c r="Q143" s="56"/>
      <c r="R143" s="56"/>
      <c r="S143" s="56"/>
      <c r="U143" s="55"/>
      <c r="V143" s="56"/>
      <c r="W143" s="56"/>
      <c r="X143" s="56"/>
      <c r="Y143" s="55"/>
      <c r="Z143" s="56"/>
      <c r="AA143" s="56"/>
      <c r="AB143" s="56"/>
      <c r="AC143" s="56"/>
      <c r="AE143" s="55"/>
      <c r="AF143" s="56"/>
      <c r="AG143" s="56"/>
      <c r="AH143" s="56"/>
      <c r="AI143" s="55"/>
      <c r="AJ143" s="56"/>
      <c r="AK143" s="56"/>
      <c r="AL143" s="56"/>
      <c r="AM143" s="56"/>
      <c r="AO143" s="55"/>
      <c r="AP143" s="56"/>
      <c r="AQ143" s="56"/>
      <c r="AR143" s="56"/>
      <c r="AS143" s="55"/>
      <c r="AT143" s="56"/>
      <c r="AU143" s="56"/>
      <c r="AV143" s="56"/>
      <c r="AW143" s="56"/>
      <c r="AY143" s="55"/>
      <c r="AZ143" s="56"/>
      <c r="BA143" s="56"/>
      <c r="BB143" s="56"/>
      <c r="BC143" s="55"/>
      <c r="BD143" s="56"/>
      <c r="BE143" s="56"/>
      <c r="BF143" s="56"/>
      <c r="BG143" s="56"/>
      <c r="BI143" s="10" t="s">
        <v>117</v>
      </c>
    </row>
    <row r="144" spans="2:61" x14ac:dyDescent="0.2">
      <c r="B144" s="8" t="s">
        <v>416</v>
      </c>
      <c r="C144" s="5" t="s">
        <v>417</v>
      </c>
      <c r="D144" s="54" t="s">
        <v>418</v>
      </c>
      <c r="E144" s="12" t="s">
        <v>419</v>
      </c>
      <c r="F144" s="55"/>
      <c r="G144" s="56"/>
      <c r="H144" s="56"/>
      <c r="I144" s="56"/>
      <c r="K144" s="55"/>
      <c r="L144" s="56"/>
      <c r="M144" s="56">
        <v>0.62893040699593405</v>
      </c>
      <c r="N144" s="56">
        <v>0.78470439241794099</v>
      </c>
      <c r="O144" s="55">
        <v>0.81236730452554196</v>
      </c>
      <c r="P144" s="56">
        <v>0.82652667681352099</v>
      </c>
      <c r="Q144" s="56">
        <v>0.83120699172664003</v>
      </c>
      <c r="R144" s="56">
        <v>0.85353509411736495</v>
      </c>
      <c r="S144" s="56">
        <v>0.88435218666848603</v>
      </c>
      <c r="U144" s="55"/>
      <c r="V144" s="56"/>
      <c r="W144" s="56">
        <v>0.58887727553081903</v>
      </c>
      <c r="X144" s="56">
        <v>0.72498201682228303</v>
      </c>
      <c r="Y144" s="55">
        <v>0.71912281268276201</v>
      </c>
      <c r="Z144" s="56">
        <v>0.70412359635457</v>
      </c>
      <c r="AA144" s="56">
        <v>0.68203244764684501</v>
      </c>
      <c r="AB144" s="56">
        <v>0.67200312657987304</v>
      </c>
      <c r="AC144" s="56">
        <v>0.66373638130561197</v>
      </c>
      <c r="AE144" s="55"/>
      <c r="AF144" s="56"/>
      <c r="AG144" s="56">
        <v>0.62893040699593405</v>
      </c>
      <c r="AH144" s="56">
        <v>0.78470439241794099</v>
      </c>
      <c r="AI144" s="55">
        <v>0.81236730452554196</v>
      </c>
      <c r="AJ144" s="56">
        <v>0.82652667681352099</v>
      </c>
      <c r="AK144" s="56">
        <v>0.83120699172664003</v>
      </c>
      <c r="AL144" s="56">
        <v>0.85353509411736495</v>
      </c>
      <c r="AM144" s="56">
        <v>0.88435218666848603</v>
      </c>
      <c r="AO144" s="55"/>
      <c r="AP144" s="56"/>
      <c r="AQ144" s="56">
        <v>0.63125090110572601</v>
      </c>
      <c r="AR144" s="56">
        <v>0.78580539552286399</v>
      </c>
      <c r="AS144" s="55">
        <v>0.79866493102971303</v>
      </c>
      <c r="AT144" s="56">
        <v>0.79878649550960801</v>
      </c>
      <c r="AU144" s="56">
        <v>0.78960826140393003</v>
      </c>
      <c r="AV144" s="56">
        <v>0.79495222553915901</v>
      </c>
      <c r="AW144" s="56">
        <v>0.80760330230255195</v>
      </c>
      <c r="AY144" s="55"/>
      <c r="AZ144" s="56"/>
      <c r="BA144" s="56">
        <v>0.599308036553721</v>
      </c>
      <c r="BB144" s="56">
        <v>0.739657178369863</v>
      </c>
      <c r="BC144" s="55">
        <v>0.73463871595048402</v>
      </c>
      <c r="BD144" s="56">
        <v>0.72005444646098005</v>
      </c>
      <c r="BE144" s="56">
        <v>0.69583989287588399</v>
      </c>
      <c r="BF144" s="56">
        <v>0.68484946993913798</v>
      </c>
      <c r="BG144" s="56">
        <v>0.68026474343986598</v>
      </c>
      <c r="BI144" s="10" t="s">
        <v>117</v>
      </c>
    </row>
    <row r="145" spans="2:61" x14ac:dyDescent="0.2">
      <c r="B145" s="8" t="s">
        <v>420</v>
      </c>
      <c r="C145" s="5" t="s">
        <v>421</v>
      </c>
      <c r="D145" s="54" t="s">
        <v>422</v>
      </c>
      <c r="E145" s="12" t="s">
        <v>423</v>
      </c>
      <c r="F145" s="55"/>
      <c r="G145" s="56"/>
      <c r="H145" s="56"/>
      <c r="I145" s="56"/>
      <c r="K145" s="55"/>
      <c r="L145" s="56"/>
      <c r="M145" s="56"/>
      <c r="N145" s="56"/>
      <c r="O145" s="55"/>
      <c r="P145" s="56"/>
      <c r="Q145" s="56"/>
      <c r="R145" s="56"/>
      <c r="S145" s="56"/>
      <c r="U145" s="55"/>
      <c r="V145" s="56"/>
      <c r="W145" s="56"/>
      <c r="X145" s="56"/>
      <c r="Y145" s="55"/>
      <c r="Z145" s="56"/>
      <c r="AA145" s="56"/>
      <c r="AB145" s="56"/>
      <c r="AC145" s="56"/>
      <c r="AE145" s="55"/>
      <c r="AF145" s="56"/>
      <c r="AG145" s="56"/>
      <c r="AH145" s="56"/>
      <c r="AI145" s="55"/>
      <c r="AJ145" s="56"/>
      <c r="AK145" s="56"/>
      <c r="AL145" s="56"/>
      <c r="AM145" s="56"/>
      <c r="AO145" s="55"/>
      <c r="AP145" s="56"/>
      <c r="AQ145" s="56"/>
      <c r="AR145" s="56"/>
      <c r="AS145" s="55"/>
      <c r="AT145" s="56"/>
      <c r="AU145" s="56"/>
      <c r="AV145" s="56"/>
      <c r="AW145" s="56"/>
      <c r="AY145" s="55"/>
      <c r="AZ145" s="56"/>
      <c r="BA145" s="56"/>
      <c r="BB145" s="56"/>
      <c r="BC145" s="55"/>
      <c r="BD145" s="56"/>
      <c r="BE145" s="56"/>
      <c r="BF145" s="56"/>
      <c r="BG145" s="56"/>
      <c r="BI145" s="10" t="s">
        <v>117</v>
      </c>
    </row>
    <row r="146" spans="2:61" x14ac:dyDescent="0.2">
      <c r="B146" s="8" t="s">
        <v>424</v>
      </c>
      <c r="C146" s="5" t="s">
        <v>425</v>
      </c>
      <c r="D146" s="54" t="s">
        <v>426</v>
      </c>
      <c r="E146" s="12" t="s">
        <v>427</v>
      </c>
      <c r="F146" s="55"/>
      <c r="G146" s="56"/>
      <c r="H146" s="56"/>
      <c r="I146" s="56"/>
      <c r="K146" s="55"/>
      <c r="L146" s="56"/>
      <c r="M146" s="56">
        <v>0.15386458340727899</v>
      </c>
      <c r="N146" s="56">
        <v>0.19195748761847201</v>
      </c>
      <c r="O146" s="55">
        <v>0.198480918702581</v>
      </c>
      <c r="P146" s="56">
        <v>0.20170659621116799</v>
      </c>
      <c r="Q146" s="56">
        <v>0.20293874393935299</v>
      </c>
      <c r="R146" s="56">
        <v>0.20790041078466101</v>
      </c>
      <c r="S146" s="56">
        <v>0.21532211645080901</v>
      </c>
      <c r="U146" s="55"/>
      <c r="V146" s="56"/>
      <c r="W146" s="56">
        <v>0.144387021875614</v>
      </c>
      <c r="X146" s="56">
        <v>0.177979118566782</v>
      </c>
      <c r="Y146" s="55">
        <v>0.17653934405291999</v>
      </c>
      <c r="Z146" s="56">
        <v>0.172764871796004</v>
      </c>
      <c r="AA146" s="56">
        <v>0.16746915941896101</v>
      </c>
      <c r="AB146" s="56">
        <v>0.16459771608933599</v>
      </c>
      <c r="AC146" s="56">
        <v>0.16247305792252001</v>
      </c>
      <c r="AE146" s="55"/>
      <c r="AF146" s="56"/>
      <c r="AG146" s="56">
        <v>0.15386458340727899</v>
      </c>
      <c r="AH146" s="56">
        <v>0.19195748761847201</v>
      </c>
      <c r="AI146" s="55">
        <v>0.198480918702581</v>
      </c>
      <c r="AJ146" s="56">
        <v>0.20170659621116799</v>
      </c>
      <c r="AK146" s="56">
        <v>0.20293874393935299</v>
      </c>
      <c r="AL146" s="56">
        <v>0.20790041078466101</v>
      </c>
      <c r="AM146" s="56">
        <v>0.21532211645080901</v>
      </c>
      <c r="AO146" s="55"/>
      <c r="AP146" s="56"/>
      <c r="AQ146" s="56">
        <v>0.15479480989467001</v>
      </c>
      <c r="AR146" s="56">
        <v>0.19261503828747301</v>
      </c>
      <c r="AS146" s="55">
        <v>0.19560371592332601</v>
      </c>
      <c r="AT146" s="56">
        <v>0.19544360349360701</v>
      </c>
      <c r="AU146" s="56">
        <v>0.193307354508928</v>
      </c>
      <c r="AV146" s="56">
        <v>0.194240750676244</v>
      </c>
      <c r="AW146" s="56">
        <v>0.197255024392922</v>
      </c>
      <c r="AY146" s="55"/>
      <c r="AZ146" s="56"/>
      <c r="BA146" s="56">
        <v>0.14727894111319201</v>
      </c>
      <c r="BB146" s="56">
        <v>0.18191666148281799</v>
      </c>
      <c r="BC146" s="55">
        <v>0.18060007670421599</v>
      </c>
      <c r="BD146" s="56">
        <v>0.17686644811159699</v>
      </c>
      <c r="BE146" s="56">
        <v>0.17102948057192799</v>
      </c>
      <c r="BF146" s="56">
        <v>0.16789352091673601</v>
      </c>
      <c r="BG146" s="56">
        <v>0.16669193410487201</v>
      </c>
      <c r="BI146" s="10" t="s">
        <v>117</v>
      </c>
    </row>
    <row r="147" spans="2:61" x14ac:dyDescent="0.2">
      <c r="B147" s="8"/>
    </row>
    <row r="148" spans="2:61" x14ac:dyDescent="0.2">
      <c r="B148" s="8"/>
      <c r="W148" s="57">
        <f>W132/W$136</f>
        <v>0.58887727553081859</v>
      </c>
      <c r="X148" s="57">
        <f t="shared" ref="X148:AC150" si="8">X132/X$136</f>
        <v>0.72498201682228347</v>
      </c>
      <c r="Y148" s="57">
        <f t="shared" si="8"/>
        <v>0.71912281268276224</v>
      </c>
      <c r="Z148" s="57">
        <f t="shared" si="8"/>
        <v>0.70412359635456956</v>
      </c>
      <c r="AA148" s="57">
        <f t="shared" si="8"/>
        <v>0.68203244764684545</v>
      </c>
      <c r="AB148" s="57">
        <f t="shared" si="8"/>
        <v>0.67200312657987293</v>
      </c>
      <c r="AC148" s="57">
        <f t="shared" si="8"/>
        <v>0.66373638130561163</v>
      </c>
      <c r="AE148" s="58">
        <f>MIN(W148:AC148)</f>
        <v>0.58887727553081859</v>
      </c>
    </row>
    <row r="149" spans="2:61" x14ac:dyDescent="0.2">
      <c r="B149" s="8"/>
      <c r="W149" s="57">
        <f>W133/W$136</f>
        <v>0.58887727553081859</v>
      </c>
      <c r="X149" s="57">
        <f t="shared" si="8"/>
        <v>0.72498201682228347</v>
      </c>
      <c r="Y149" s="57">
        <f t="shared" si="8"/>
        <v>0.71912281268276224</v>
      </c>
      <c r="Z149" s="57">
        <f t="shared" si="8"/>
        <v>0.70412359635456956</v>
      </c>
      <c r="AA149" s="57">
        <f t="shared" si="8"/>
        <v>0.68203244764684545</v>
      </c>
      <c r="AB149" s="57">
        <f t="shared" si="8"/>
        <v>0.67200312657987293</v>
      </c>
      <c r="AC149" s="57">
        <f t="shared" si="8"/>
        <v>0.66373638130561163</v>
      </c>
      <c r="AE149" s="58">
        <f t="shared" ref="AE149:AE151" si="9">MIN(W149:AC149)</f>
        <v>0.58887727553081859</v>
      </c>
    </row>
    <row r="150" spans="2:61" x14ac:dyDescent="0.2">
      <c r="B150" s="8"/>
      <c r="W150" s="57">
        <f>W134/W$136</f>
        <v>0.58887727553081859</v>
      </c>
      <c r="X150" s="57">
        <f t="shared" si="8"/>
        <v>0.72498201682228347</v>
      </c>
      <c r="Y150" s="57">
        <f t="shared" si="8"/>
        <v>0.71912281268276224</v>
      </c>
      <c r="Z150" s="57">
        <f t="shared" si="8"/>
        <v>0.70412359635456956</v>
      </c>
      <c r="AA150" s="57">
        <f t="shared" si="8"/>
        <v>0.68203244764684545</v>
      </c>
      <c r="AB150" s="57">
        <f t="shared" si="8"/>
        <v>0.67200312657987293</v>
      </c>
      <c r="AC150" s="57">
        <f t="shared" si="8"/>
        <v>0.66373638130561163</v>
      </c>
      <c r="AE150" s="58">
        <f t="shared" si="9"/>
        <v>0.58887727553081859</v>
      </c>
    </row>
    <row r="151" spans="2:61" x14ac:dyDescent="0.2">
      <c r="B151" s="8"/>
      <c r="W151" s="57">
        <f>W133/W$138</f>
        <v>0.14438702187561409</v>
      </c>
      <c r="X151" s="57">
        <f t="shared" ref="X151:AC151" si="10">X133/X$138</f>
        <v>0.1779791185667815</v>
      </c>
      <c r="Y151" s="57">
        <f t="shared" si="10"/>
        <v>0.17653934405291968</v>
      </c>
      <c r="Z151" s="57">
        <f t="shared" si="10"/>
        <v>0.17276487179600356</v>
      </c>
      <c r="AA151" s="57">
        <f t="shared" si="10"/>
        <v>0.16746915941896115</v>
      </c>
      <c r="AB151" s="57">
        <f t="shared" si="10"/>
        <v>0.16459771608933649</v>
      </c>
      <c r="AC151" s="57">
        <f t="shared" si="10"/>
        <v>0.16247305792252031</v>
      </c>
      <c r="AE151" s="58">
        <f t="shared" si="9"/>
        <v>0.14438702187561409</v>
      </c>
    </row>
    <row r="152" spans="2:61" x14ac:dyDescent="0.2">
      <c r="B152" s="8"/>
    </row>
    <row r="153" spans="2:61" x14ac:dyDescent="0.2">
      <c r="B153" s="8"/>
    </row>
    <row r="154" spans="2:61" x14ac:dyDescent="0.2">
      <c r="B154" s="8"/>
    </row>
    <row r="155" spans="2:61" x14ac:dyDescent="0.2">
      <c r="B155" s="8"/>
    </row>
    <row r="156" spans="2:61" x14ac:dyDescent="0.2">
      <c r="B156" s="8"/>
    </row>
    <row r="157" spans="2:61" x14ac:dyDescent="0.2">
      <c r="B157" s="8"/>
    </row>
    <row r="158" spans="2:61" x14ac:dyDescent="0.2">
      <c r="B158" s="8"/>
    </row>
    <row r="159" spans="2:61" x14ac:dyDescent="0.2">
      <c r="B159" s="8"/>
    </row>
    <row r="160" spans="2:61" x14ac:dyDescent="0.2">
      <c r="B160" s="8"/>
    </row>
    <row r="161" spans="2:2" x14ac:dyDescent="0.2">
      <c r="B161" s="8"/>
    </row>
    <row r="162" spans="2:2" x14ac:dyDescent="0.2">
      <c r="B162" s="8"/>
    </row>
    <row r="163" spans="2:2" x14ac:dyDescent="0.2">
      <c r="B163" s="8"/>
    </row>
    <row r="164" spans="2:2" x14ac:dyDescent="0.2">
      <c r="B164" s="8"/>
    </row>
    <row r="165" spans="2:2" x14ac:dyDescent="0.2">
      <c r="B165" s="8"/>
    </row>
    <row r="166" spans="2:2" x14ac:dyDescent="0.2">
      <c r="B166" s="8"/>
    </row>
    <row r="167" spans="2:2" x14ac:dyDescent="0.2">
      <c r="B167" s="8"/>
    </row>
    <row r="168" spans="2:2" x14ac:dyDescent="0.2">
      <c r="B168" s="8"/>
    </row>
    <row r="169" spans="2:2" x14ac:dyDescent="0.2">
      <c r="B169" s="8"/>
    </row>
    <row r="170" spans="2:2" x14ac:dyDescent="0.2">
      <c r="B170" s="8"/>
    </row>
    <row r="171" spans="2:2" x14ac:dyDescent="0.2">
      <c r="B171" s="8"/>
    </row>
    <row r="172" spans="2:2" x14ac:dyDescent="0.2">
      <c r="B172" s="8"/>
    </row>
    <row r="173" spans="2:2" x14ac:dyDescent="0.2">
      <c r="B173" s="8"/>
    </row>
    <row r="174" spans="2:2" x14ac:dyDescent="0.2">
      <c r="B174" s="8"/>
    </row>
    <row r="175" spans="2:2" x14ac:dyDescent="0.2">
      <c r="B175" s="8"/>
    </row>
    <row r="176" spans="2:2" x14ac:dyDescent="0.2">
      <c r="B176" s="8"/>
    </row>
    <row r="177" spans="2:2" x14ac:dyDescent="0.2">
      <c r="B177" s="8"/>
    </row>
    <row r="178" spans="2:2" x14ac:dyDescent="0.2">
      <c r="B178" s="8"/>
    </row>
    <row r="179" spans="2:2" x14ac:dyDescent="0.2">
      <c r="B179" s="8"/>
    </row>
    <row r="180" spans="2:2" x14ac:dyDescent="0.2">
      <c r="B180" s="8"/>
    </row>
    <row r="181" spans="2:2" x14ac:dyDescent="0.2">
      <c r="B181" s="8"/>
    </row>
    <row r="182" spans="2:2" x14ac:dyDescent="0.2">
      <c r="B182" s="8"/>
    </row>
    <row r="183" spans="2:2" x14ac:dyDescent="0.2">
      <c r="B183" s="8"/>
    </row>
    <row r="184" spans="2:2" x14ac:dyDescent="0.2">
      <c r="B184" s="8"/>
    </row>
    <row r="185" spans="2:2" x14ac:dyDescent="0.2">
      <c r="B185" s="8"/>
    </row>
    <row r="186" spans="2:2" x14ac:dyDescent="0.2">
      <c r="B186" s="8"/>
    </row>
    <row r="187" spans="2:2" x14ac:dyDescent="0.2">
      <c r="B187" s="8"/>
    </row>
    <row r="188" spans="2:2" x14ac:dyDescent="0.2">
      <c r="B188" s="8"/>
    </row>
    <row r="189" spans="2:2" x14ac:dyDescent="0.2">
      <c r="B189" s="8"/>
    </row>
    <row r="190" spans="2:2" x14ac:dyDescent="0.2">
      <c r="B190" s="8"/>
    </row>
    <row r="191" spans="2:2" x14ac:dyDescent="0.2">
      <c r="B191" s="8"/>
    </row>
    <row r="192" spans="2:2" x14ac:dyDescent="0.2">
      <c r="B192" s="8"/>
    </row>
    <row r="193" spans="2:2" x14ac:dyDescent="0.2">
      <c r="B193" s="8"/>
    </row>
    <row r="194" spans="2:2" x14ac:dyDescent="0.2">
      <c r="B194" s="8"/>
    </row>
    <row r="195" spans="2:2" x14ac:dyDescent="0.2">
      <c r="B195" s="8"/>
    </row>
    <row r="196" spans="2:2" x14ac:dyDescent="0.2">
      <c r="B196" s="8"/>
    </row>
    <row r="197" spans="2:2" x14ac:dyDescent="0.2">
      <c r="B197" s="8"/>
    </row>
    <row r="198" spans="2:2" x14ac:dyDescent="0.2">
      <c r="B198" s="8"/>
    </row>
    <row r="199" spans="2:2" x14ac:dyDescent="0.2">
      <c r="B199" s="8"/>
    </row>
    <row r="200" spans="2:2" x14ac:dyDescent="0.2">
      <c r="B200" s="8"/>
    </row>
    <row r="201" spans="2:2" x14ac:dyDescent="0.2">
      <c r="B201" s="8"/>
    </row>
    <row r="202" spans="2:2" x14ac:dyDescent="0.2">
      <c r="B202" s="8"/>
    </row>
    <row r="203" spans="2:2" x14ac:dyDescent="0.2">
      <c r="B203" s="8"/>
    </row>
    <row r="204" spans="2:2" x14ac:dyDescent="0.2">
      <c r="B204" s="8"/>
    </row>
    <row r="205" spans="2:2" x14ac:dyDescent="0.2">
      <c r="B205" s="8"/>
    </row>
    <row r="206" spans="2:2" x14ac:dyDescent="0.2">
      <c r="B206" s="8"/>
    </row>
    <row r="207" spans="2:2" x14ac:dyDescent="0.2">
      <c r="B207" s="8"/>
    </row>
    <row r="208" spans="2:2" x14ac:dyDescent="0.2">
      <c r="B208" s="8"/>
    </row>
    <row r="209" spans="2:2" x14ac:dyDescent="0.2">
      <c r="B209" s="8"/>
    </row>
    <row r="210" spans="2:2" x14ac:dyDescent="0.2">
      <c r="B210" s="8"/>
    </row>
    <row r="211" spans="2:2" x14ac:dyDescent="0.2">
      <c r="B211" s="8"/>
    </row>
    <row r="212" spans="2:2" x14ac:dyDescent="0.2">
      <c r="B212" s="8"/>
    </row>
    <row r="213" spans="2:2" x14ac:dyDescent="0.2">
      <c r="B213" s="8"/>
    </row>
    <row r="214" spans="2:2" x14ac:dyDescent="0.2">
      <c r="B214" s="8"/>
    </row>
    <row r="215" spans="2:2" x14ac:dyDescent="0.2">
      <c r="B215" s="8"/>
    </row>
    <row r="216" spans="2:2" x14ac:dyDescent="0.2">
      <c r="B216" s="8"/>
    </row>
    <row r="217" spans="2:2" x14ac:dyDescent="0.2">
      <c r="B217" s="8"/>
    </row>
    <row r="218" spans="2:2" x14ac:dyDescent="0.2">
      <c r="B218" s="8"/>
    </row>
    <row r="219" spans="2:2" x14ac:dyDescent="0.2">
      <c r="B219" s="8"/>
    </row>
    <row r="220" spans="2:2" x14ac:dyDescent="0.2">
      <c r="B220" s="8"/>
    </row>
    <row r="221" spans="2:2" x14ac:dyDescent="0.2">
      <c r="B221" s="8"/>
    </row>
    <row r="222" spans="2:2" x14ac:dyDescent="0.2">
      <c r="B222" s="8"/>
    </row>
    <row r="223" spans="2:2" x14ac:dyDescent="0.2">
      <c r="B223" s="8"/>
    </row>
    <row r="224" spans="2:2" x14ac:dyDescent="0.2">
      <c r="B224" s="8"/>
    </row>
    <row r="225" spans="2:2" x14ac:dyDescent="0.2">
      <c r="B225" s="8"/>
    </row>
    <row r="226" spans="2:2" x14ac:dyDescent="0.2">
      <c r="B226" s="8"/>
    </row>
    <row r="227" spans="2:2" x14ac:dyDescent="0.2">
      <c r="B227" s="8"/>
    </row>
    <row r="228" spans="2:2" x14ac:dyDescent="0.2">
      <c r="B228" s="8"/>
    </row>
    <row r="229" spans="2:2" x14ac:dyDescent="0.2">
      <c r="B229" s="8"/>
    </row>
    <row r="230" spans="2:2" x14ac:dyDescent="0.2">
      <c r="B230" s="8"/>
    </row>
    <row r="231" spans="2:2" x14ac:dyDescent="0.2">
      <c r="B231" s="8"/>
    </row>
    <row r="232" spans="2:2" x14ac:dyDescent="0.2">
      <c r="B232" s="8"/>
    </row>
    <row r="233" spans="2:2" x14ac:dyDescent="0.2">
      <c r="B233" s="8"/>
    </row>
    <row r="234" spans="2:2" x14ac:dyDescent="0.2">
      <c r="B234" s="8"/>
    </row>
    <row r="235" spans="2:2" x14ac:dyDescent="0.2">
      <c r="B235" s="8"/>
    </row>
    <row r="236" spans="2:2" x14ac:dyDescent="0.2">
      <c r="B236" s="8"/>
    </row>
    <row r="237" spans="2:2" x14ac:dyDescent="0.2">
      <c r="B237" s="8"/>
    </row>
    <row r="238" spans="2:2" x14ac:dyDescent="0.2">
      <c r="B238" s="8"/>
    </row>
    <row r="239" spans="2:2" x14ac:dyDescent="0.2">
      <c r="B239" s="8"/>
    </row>
    <row r="240" spans="2:2" x14ac:dyDescent="0.2">
      <c r="B240" s="8"/>
    </row>
    <row r="241" spans="2:2" x14ac:dyDescent="0.2">
      <c r="B241" s="8"/>
    </row>
    <row r="242" spans="2:2" x14ac:dyDescent="0.2">
      <c r="B242" s="8"/>
    </row>
    <row r="243" spans="2:2" x14ac:dyDescent="0.2">
      <c r="B243" s="8"/>
    </row>
    <row r="244" spans="2:2" x14ac:dyDescent="0.2">
      <c r="B244" s="8"/>
    </row>
    <row r="245" spans="2:2" x14ac:dyDescent="0.2">
      <c r="B245" s="8"/>
    </row>
    <row r="246" spans="2:2" x14ac:dyDescent="0.2">
      <c r="B246" s="8"/>
    </row>
    <row r="247" spans="2:2" x14ac:dyDescent="0.2">
      <c r="B247" s="8"/>
    </row>
    <row r="248" spans="2:2" x14ac:dyDescent="0.2">
      <c r="B248" s="8"/>
    </row>
    <row r="249" spans="2:2" x14ac:dyDescent="0.2">
      <c r="B249" s="8"/>
    </row>
    <row r="250" spans="2:2" x14ac:dyDescent="0.2">
      <c r="B250" s="8"/>
    </row>
    <row r="251" spans="2:2" x14ac:dyDescent="0.2">
      <c r="B251" s="8"/>
    </row>
    <row r="252" spans="2:2" x14ac:dyDescent="0.2">
      <c r="B252" s="8"/>
    </row>
    <row r="253" spans="2:2" x14ac:dyDescent="0.2">
      <c r="B253" s="8"/>
    </row>
    <row r="254" spans="2:2" x14ac:dyDescent="0.2">
      <c r="B254" s="8"/>
    </row>
    <row r="255" spans="2:2" x14ac:dyDescent="0.2">
      <c r="B255" s="8"/>
    </row>
    <row r="256" spans="2:2" x14ac:dyDescent="0.2">
      <c r="B256" s="8"/>
    </row>
    <row r="257" spans="2:2" x14ac:dyDescent="0.2">
      <c r="B257" s="8"/>
    </row>
    <row r="258" spans="2:2" x14ac:dyDescent="0.2">
      <c r="B258" s="8"/>
    </row>
    <row r="259" spans="2:2" x14ac:dyDescent="0.2">
      <c r="B259" s="8"/>
    </row>
    <row r="260" spans="2:2" x14ac:dyDescent="0.2">
      <c r="B260" s="8"/>
    </row>
    <row r="261" spans="2:2" x14ac:dyDescent="0.2">
      <c r="B261" s="8"/>
    </row>
    <row r="262" spans="2:2" x14ac:dyDescent="0.2">
      <c r="B262" s="8"/>
    </row>
    <row r="263" spans="2:2" x14ac:dyDescent="0.2">
      <c r="B263" s="8"/>
    </row>
    <row r="264" spans="2:2" x14ac:dyDescent="0.2">
      <c r="B264" s="8"/>
    </row>
    <row r="265" spans="2:2" x14ac:dyDescent="0.2">
      <c r="B265" s="8"/>
    </row>
    <row r="266" spans="2:2" x14ac:dyDescent="0.2">
      <c r="B266" s="8"/>
    </row>
    <row r="267" spans="2:2" x14ac:dyDescent="0.2">
      <c r="B267" s="8"/>
    </row>
    <row r="268" spans="2:2" x14ac:dyDescent="0.2">
      <c r="B268" s="8"/>
    </row>
    <row r="269" spans="2:2" x14ac:dyDescent="0.2">
      <c r="B269" s="8"/>
    </row>
    <row r="270" spans="2:2" x14ac:dyDescent="0.2">
      <c r="B270" s="8"/>
    </row>
    <row r="271" spans="2:2" x14ac:dyDescent="0.2">
      <c r="B271" s="8"/>
    </row>
    <row r="272" spans="2:2" x14ac:dyDescent="0.2">
      <c r="B272" s="8"/>
    </row>
    <row r="273" spans="2:2" x14ac:dyDescent="0.2">
      <c r="B273" s="8"/>
    </row>
    <row r="274" spans="2:2" x14ac:dyDescent="0.2">
      <c r="B274" s="8"/>
    </row>
    <row r="275" spans="2:2" x14ac:dyDescent="0.2">
      <c r="B275" s="8"/>
    </row>
    <row r="276" spans="2:2" x14ac:dyDescent="0.2">
      <c r="B276" s="8"/>
    </row>
    <row r="277" spans="2:2" x14ac:dyDescent="0.2">
      <c r="B277" s="8"/>
    </row>
    <row r="278" spans="2:2" x14ac:dyDescent="0.2">
      <c r="B278" s="8"/>
    </row>
  </sheetData>
  <mergeCells count="5">
    <mergeCell ref="K9:S9"/>
    <mergeCell ref="U9:AC9"/>
    <mergeCell ref="AE9:AM9"/>
    <mergeCell ref="AO9:AW9"/>
    <mergeCell ref="AY9:BG9"/>
  </mergeCells>
  <pageMargins left="0.7" right="0.7" top="0.75" bottom="0.75" header="0.3" footer="0.3"/>
  <pageSetup scale="55" orientation="landscape" r:id="rId1"/>
  <rowBreaks count="1" manualBreakCount="1">
    <brk id="79" min="2" max="59" man="1"/>
  </rowBreaks>
  <colBreaks count="4" manualBreakCount="4">
    <brk id="20" min="6" max="145" man="1"/>
    <brk id="30" min="6" max="145" man="1"/>
    <brk id="40" min="6" max="145" man="1"/>
    <brk id="50" min="6" max="14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zoomScale="85" zoomScaleNormal="85" workbookViewId="0">
      <pane ySplit="11" topLeftCell="A12" activePane="bottomLeft" state="frozen"/>
      <selection activeCell="K44" sqref="K44"/>
      <selection pane="bottomLeft" activeCell="K44" sqref="K44"/>
    </sheetView>
  </sheetViews>
  <sheetFormatPr defaultRowHeight="15" outlineLevelCol="1" x14ac:dyDescent="0.25"/>
  <cols>
    <col min="1" max="2" width="9.140625" style="2"/>
    <col min="3" max="3" width="12" style="2" customWidth="1"/>
    <col min="4" max="4" width="20.140625" style="2" customWidth="1" outlineLevel="1"/>
    <col min="5" max="6" width="20.140625" style="60" customWidth="1" outlineLevel="1"/>
    <col min="7" max="8" width="20" style="61" customWidth="1" outlineLevel="1"/>
    <col min="9" max="9" width="24.140625" style="61" customWidth="1" outlineLevel="1"/>
    <col min="10" max="10" width="20.85546875" style="61" customWidth="1" outlineLevel="1"/>
    <col min="11" max="12" width="19.7109375" style="61" customWidth="1"/>
    <col min="13" max="13" width="20.85546875" style="61" customWidth="1" outlineLevel="1"/>
    <col min="14" max="14" width="7.85546875" style="2" customWidth="1"/>
    <col min="15" max="15" width="7.140625" style="2" customWidth="1"/>
    <col min="16" max="16" width="25.140625" style="2" customWidth="1"/>
    <col min="17" max="17" width="10.5703125" style="2" customWidth="1"/>
    <col min="18" max="18" width="11.140625" style="2" customWidth="1"/>
    <col min="19" max="19" width="15.5703125" style="2" customWidth="1"/>
    <col min="20" max="16384" width="9.140625" style="2"/>
  </cols>
  <sheetData>
    <row r="1" spans="1:19" s="85" customFormat="1" ht="18" x14ac:dyDescent="0.25">
      <c r="A1" s="84" t="s">
        <v>429</v>
      </c>
    </row>
    <row r="2" spans="1:19" s="1" customFormat="1" ht="12.75" x14ac:dyDescent="0.2"/>
    <row r="3" spans="1:19" s="1" customFormat="1" ht="15" customHeight="1" x14ac:dyDescent="0.2">
      <c r="A3" s="116" t="s">
        <v>428</v>
      </c>
      <c r="B3" s="116"/>
      <c r="C3" s="116"/>
      <c r="D3" s="116"/>
      <c r="E3" s="116"/>
      <c r="F3" s="116"/>
      <c r="G3" s="116"/>
      <c r="H3" s="116"/>
      <c r="I3" s="116"/>
      <c r="J3" s="116"/>
      <c r="K3" s="116"/>
      <c r="L3" s="81"/>
      <c r="M3" s="81"/>
      <c r="N3" s="81"/>
      <c r="O3" s="81"/>
      <c r="P3" s="81"/>
      <c r="Q3" s="81"/>
      <c r="R3" s="81"/>
      <c r="S3" s="81"/>
    </row>
    <row r="4" spans="1:19" s="1" customFormat="1" ht="15" customHeight="1" x14ac:dyDescent="0.2">
      <c r="A4" s="116"/>
      <c r="B4" s="116"/>
      <c r="C4" s="116"/>
      <c r="D4" s="116"/>
      <c r="E4" s="116"/>
      <c r="F4" s="116"/>
      <c r="G4" s="116"/>
      <c r="H4" s="116"/>
      <c r="I4" s="116"/>
      <c r="J4" s="116"/>
      <c r="K4" s="116"/>
      <c r="L4" s="81"/>
      <c r="M4" s="81"/>
      <c r="N4" s="81"/>
      <c r="O4" s="81"/>
      <c r="P4" s="81"/>
      <c r="Q4" s="81"/>
      <c r="R4" s="81"/>
      <c r="S4" s="81"/>
    </row>
    <row r="5" spans="1:19" s="1" customFormat="1" ht="15" customHeight="1" x14ac:dyDescent="0.2">
      <c r="A5" s="116"/>
      <c r="B5" s="116"/>
      <c r="C5" s="116"/>
      <c r="D5" s="116"/>
      <c r="E5" s="116"/>
      <c r="F5" s="116"/>
      <c r="G5" s="116"/>
      <c r="H5" s="116"/>
      <c r="I5" s="116"/>
      <c r="J5" s="116"/>
      <c r="K5" s="116"/>
      <c r="L5" s="81"/>
      <c r="M5" s="81"/>
      <c r="N5" s="81"/>
      <c r="O5" s="81"/>
      <c r="P5" s="81"/>
      <c r="Q5" s="81"/>
      <c r="R5" s="81"/>
      <c r="S5" s="81"/>
    </row>
    <row r="6" spans="1:19" s="1" customFormat="1" ht="15" customHeight="1" x14ac:dyDescent="0.2">
      <c r="A6" s="81"/>
      <c r="B6" s="81"/>
      <c r="C6" s="81"/>
      <c r="D6" s="81"/>
      <c r="E6" s="81"/>
      <c r="F6" s="81"/>
      <c r="G6" s="81"/>
      <c r="H6" s="81"/>
      <c r="I6" s="81"/>
      <c r="J6" s="81"/>
      <c r="K6" s="81"/>
      <c r="L6" s="81"/>
      <c r="M6" s="81"/>
      <c r="N6" s="81"/>
      <c r="O6" s="81"/>
      <c r="P6" s="81"/>
      <c r="Q6" s="81"/>
      <c r="R6" s="81"/>
      <c r="S6" s="81"/>
    </row>
    <row r="7" spans="1:19" s="83" customFormat="1" ht="15" customHeight="1" x14ac:dyDescent="0.2">
      <c r="A7" s="82"/>
      <c r="B7" s="82"/>
      <c r="C7" s="82"/>
      <c r="D7" s="82"/>
      <c r="E7" s="82"/>
      <c r="F7" s="82"/>
      <c r="G7" s="82"/>
      <c r="H7" s="82"/>
      <c r="I7" s="82"/>
      <c r="J7" s="82"/>
      <c r="K7" s="82"/>
      <c r="L7" s="82"/>
      <c r="M7" s="82"/>
      <c r="N7" s="82"/>
      <c r="O7" s="82"/>
      <c r="P7" s="82"/>
      <c r="Q7" s="82"/>
      <c r="R7" s="82"/>
      <c r="S7" s="82"/>
    </row>
    <row r="8" spans="1:19" x14ac:dyDescent="0.25">
      <c r="A8" s="2">
        <v>-1</v>
      </c>
      <c r="E8" s="59">
        <f>+E17-E18</f>
        <v>-830000000</v>
      </c>
    </row>
    <row r="9" spans="1:19" x14ac:dyDescent="0.25">
      <c r="K9" s="62" t="s">
        <v>430</v>
      </c>
      <c r="L9" s="62"/>
      <c r="P9" s="2" t="s">
        <v>431</v>
      </c>
    </row>
    <row r="10" spans="1:19" x14ac:dyDescent="0.25">
      <c r="D10" s="63" t="s">
        <v>432</v>
      </c>
      <c r="G10" s="62" t="s">
        <v>433</v>
      </c>
      <c r="H10" s="64" t="s">
        <v>434</v>
      </c>
      <c r="I10" s="62" t="s">
        <v>435</v>
      </c>
      <c r="J10" s="64" t="s">
        <v>436</v>
      </c>
      <c r="K10" s="65"/>
      <c r="L10" s="66" t="s">
        <v>437</v>
      </c>
      <c r="M10" s="64" t="s">
        <v>438</v>
      </c>
      <c r="P10" s="2" t="s">
        <v>439</v>
      </c>
      <c r="Q10" s="2" t="s">
        <v>440</v>
      </c>
      <c r="R10" s="2" t="s">
        <v>441</v>
      </c>
      <c r="S10" s="2" t="s">
        <v>430</v>
      </c>
    </row>
    <row r="11" spans="1:19" ht="30" x14ac:dyDescent="0.25">
      <c r="C11" s="3" t="s">
        <v>442</v>
      </c>
      <c r="D11" s="3" t="s">
        <v>443</v>
      </c>
      <c r="E11" s="67" t="s">
        <v>444</v>
      </c>
      <c r="F11" s="60" t="s">
        <v>445</v>
      </c>
      <c r="G11" s="68" t="s">
        <v>446</v>
      </c>
      <c r="H11" s="69" t="s">
        <v>447</v>
      </c>
      <c r="I11" s="70" t="s">
        <v>448</v>
      </c>
      <c r="J11" s="71" t="s">
        <v>449</v>
      </c>
      <c r="K11" s="72" t="s">
        <v>450</v>
      </c>
      <c r="L11" s="73" t="s">
        <v>451</v>
      </c>
      <c r="M11" s="74" t="s">
        <v>452</v>
      </c>
      <c r="P11" s="2" t="s">
        <v>453</v>
      </c>
      <c r="Q11" s="2" t="s">
        <v>454</v>
      </c>
      <c r="R11" s="2" t="s">
        <v>455</v>
      </c>
      <c r="S11" s="2" t="s">
        <v>456</v>
      </c>
    </row>
    <row r="12" spans="1:19" x14ac:dyDescent="0.25">
      <c r="C12" s="75">
        <v>42373</v>
      </c>
      <c r="D12" s="76">
        <f>[4]nccomp!$C$14</f>
        <v>164823127.50491735</v>
      </c>
      <c r="E12" s="77">
        <f>[4]nccomp!$C$16</f>
        <v>0</v>
      </c>
      <c r="F12" s="77">
        <f>[4]nccomp!$C$17</f>
        <v>21217652</v>
      </c>
      <c r="G12" s="78">
        <f t="shared" ref="G12:G75" si="0">E12+F12</f>
        <v>21217652</v>
      </c>
      <c r="H12" s="78">
        <f t="shared" ref="H12:H75" si="1">+D12+G12</f>
        <v>186040779.50491735</v>
      </c>
      <c r="I12" s="76">
        <v>49434389.443636678</v>
      </c>
      <c r="J12" s="78">
        <f t="shared" ref="J12:J75" si="2">D12+G12-I12</f>
        <v>136606390.06128067</v>
      </c>
      <c r="K12" s="76">
        <v>0</v>
      </c>
      <c r="L12" s="78">
        <f>(+I12+K12)</f>
        <v>49434389.443636678</v>
      </c>
      <c r="M12" s="78">
        <f t="shared" ref="M12:M75" si="3">+J12-K12</f>
        <v>136606390.06128067</v>
      </c>
      <c r="P12" s="79">
        <f>[4]nccomp!$C$36</f>
        <v>0</v>
      </c>
      <c r="Q12" s="79">
        <f>[4]nccomp!$C$25</f>
        <v>0</v>
      </c>
      <c r="R12" s="76">
        <f>[4]nccomp!$C$23</f>
        <v>-106145.8299999997</v>
      </c>
      <c r="S12" s="78">
        <f t="shared" ref="S12:S75" si="4">+P12+Q12+R12</f>
        <v>-106145.8299999997</v>
      </c>
    </row>
    <row r="13" spans="1:19" x14ac:dyDescent="0.25">
      <c r="C13" s="75">
        <v>42374</v>
      </c>
      <c r="D13" s="76">
        <f>[5]nccomp!$C$14</f>
        <v>164483587.00983471</v>
      </c>
      <c r="E13" s="77">
        <f>[5]nccomp!$C$16</f>
        <v>0</v>
      </c>
      <c r="F13" s="77">
        <f>[5]nccomp!$C$17</f>
        <v>21217652</v>
      </c>
      <c r="G13" s="78">
        <f t="shared" si="0"/>
        <v>21217652</v>
      </c>
      <c r="H13" s="78">
        <f t="shared" si="1"/>
        <v>185701239.00983471</v>
      </c>
      <c r="I13" s="76">
        <v>49560590.729897313</v>
      </c>
      <c r="J13" s="78">
        <f t="shared" si="2"/>
        <v>136140648.27993739</v>
      </c>
      <c r="K13" s="76">
        <v>45000000</v>
      </c>
      <c r="L13" s="78">
        <f t="shared" ref="L13:L23" si="5">(+I13+K13)</f>
        <v>94560590.72989732</v>
      </c>
      <c r="M13" s="78">
        <f t="shared" si="3"/>
        <v>91140648.279937387</v>
      </c>
      <c r="P13" s="79">
        <f>[5]nccomp!$C$36</f>
        <v>0</v>
      </c>
      <c r="Q13" s="79">
        <f>[5]nccomp!$C$25</f>
        <v>0</v>
      </c>
      <c r="R13" s="76">
        <f>[5]nccomp!$C$23</f>
        <v>-95441.129999999917</v>
      </c>
      <c r="S13" s="78">
        <f t="shared" si="4"/>
        <v>-95441.129999999917</v>
      </c>
    </row>
    <row r="14" spans="1:19" x14ac:dyDescent="0.25">
      <c r="C14" s="75">
        <v>42375</v>
      </c>
      <c r="D14" s="76">
        <f>[6]nccomp!$C$14</f>
        <v>167187146.33293387</v>
      </c>
      <c r="E14" s="77">
        <f>[6]nccomp!$C$16</f>
        <v>0</v>
      </c>
      <c r="F14" s="77">
        <f>[6]nccomp!$C$17</f>
        <v>0</v>
      </c>
      <c r="G14" s="78">
        <f t="shared" si="0"/>
        <v>0</v>
      </c>
      <c r="H14" s="78">
        <f t="shared" si="1"/>
        <v>167187146.33293387</v>
      </c>
      <c r="I14" s="76">
        <v>49850383.437665813</v>
      </c>
      <c r="J14" s="78">
        <f t="shared" si="2"/>
        <v>117336762.89526805</v>
      </c>
      <c r="K14" s="76"/>
      <c r="L14" s="78">
        <f t="shared" si="5"/>
        <v>49850383.437665813</v>
      </c>
      <c r="M14" s="78">
        <f t="shared" si="3"/>
        <v>117336762.89526805</v>
      </c>
      <c r="P14" s="79">
        <f>[6]nccomp!$C$36</f>
        <v>0</v>
      </c>
      <c r="Q14" s="79">
        <f>[6]nccomp!$C$25</f>
        <v>0</v>
      </c>
      <c r="R14" s="76">
        <f>[6]nccomp!$C$23</f>
        <v>-91716.560000000245</v>
      </c>
      <c r="S14" s="78">
        <f t="shared" si="4"/>
        <v>-91716.560000000245</v>
      </c>
    </row>
    <row r="15" spans="1:19" x14ac:dyDescent="0.25">
      <c r="C15" s="75">
        <v>42376</v>
      </c>
      <c r="D15" s="76">
        <f>[7]nccomp!$C$14</f>
        <v>167626434.11057851</v>
      </c>
      <c r="E15" s="77">
        <f>[7]nccomp!$C$16</f>
        <v>0</v>
      </c>
      <c r="F15" s="77">
        <f>[7]nccomp!$C$17</f>
        <v>0</v>
      </c>
      <c r="G15" s="78">
        <f t="shared" si="0"/>
        <v>0</v>
      </c>
      <c r="H15" s="78">
        <f t="shared" si="1"/>
        <v>167626434.11057851</v>
      </c>
      <c r="I15" s="76">
        <v>54618230.989327669</v>
      </c>
      <c r="J15" s="78">
        <f t="shared" si="2"/>
        <v>113008203.12125084</v>
      </c>
      <c r="K15" s="76"/>
      <c r="L15" s="78">
        <f t="shared" si="5"/>
        <v>54618230.989327669</v>
      </c>
      <c r="M15" s="78">
        <f t="shared" si="3"/>
        <v>113008203.12125084</v>
      </c>
      <c r="P15" s="79">
        <f>[7]nccomp!$C$36</f>
        <v>0</v>
      </c>
      <c r="Q15" s="79">
        <f>[7]nccomp!$C$25</f>
        <v>0</v>
      </c>
      <c r="R15" s="76">
        <f>[7]nccomp!$C$23</f>
        <v>-4039520.12</v>
      </c>
      <c r="S15" s="78">
        <f t="shared" si="4"/>
        <v>-4039520.12</v>
      </c>
    </row>
    <row r="16" spans="1:19" x14ac:dyDescent="0.25">
      <c r="C16" s="75">
        <v>42377</v>
      </c>
      <c r="D16" s="76">
        <f>[8]nccomp!$C$14</f>
        <v>167329122.73844698</v>
      </c>
      <c r="E16" s="77">
        <f>[8]nccomp!$C$16</f>
        <v>0</v>
      </c>
      <c r="F16" s="77">
        <f>[8]nccomp!$C$17</f>
        <v>0</v>
      </c>
      <c r="G16" s="78">
        <f t="shared" si="0"/>
        <v>0</v>
      </c>
      <c r="H16" s="78">
        <f t="shared" si="1"/>
        <v>167329122.73844698</v>
      </c>
      <c r="I16" s="76">
        <v>53995482.247076243</v>
      </c>
      <c r="J16" s="78">
        <f t="shared" si="2"/>
        <v>113333640.49137074</v>
      </c>
      <c r="K16" s="76">
        <v>29456250</v>
      </c>
      <c r="L16" s="78">
        <f t="shared" si="5"/>
        <v>83451732.247076243</v>
      </c>
      <c r="M16" s="78">
        <f t="shared" si="3"/>
        <v>83877390.491370738</v>
      </c>
      <c r="P16" s="79">
        <f>[8]nccomp!$C$36</f>
        <v>0</v>
      </c>
      <c r="Q16" s="79">
        <f>[8]nccomp!$C$25</f>
        <v>0</v>
      </c>
      <c r="R16" s="76">
        <f>[8]nccomp!$C$23</f>
        <v>-4130856.82</v>
      </c>
      <c r="S16" s="78">
        <f t="shared" si="4"/>
        <v>-4130856.82</v>
      </c>
    </row>
    <row r="17" spans="3:19" x14ac:dyDescent="0.25">
      <c r="C17" s="75">
        <v>42380</v>
      </c>
      <c r="D17" s="76">
        <f>[9]nccomp!$C$14</f>
        <v>168048094.68613636</v>
      </c>
      <c r="E17" s="77">
        <f>[9]nccomp!$C$16</f>
        <v>290000000</v>
      </c>
      <c r="F17" s="77">
        <f>[9]nccomp!$C$17</f>
        <v>0</v>
      </c>
      <c r="G17" s="78">
        <f t="shared" si="0"/>
        <v>290000000</v>
      </c>
      <c r="H17" s="78">
        <f t="shared" si="1"/>
        <v>458048094.68613636</v>
      </c>
      <c r="I17" s="76">
        <v>50355582.640104868</v>
      </c>
      <c r="J17" s="78">
        <f t="shared" si="2"/>
        <v>407692512.04603148</v>
      </c>
      <c r="K17" s="76">
        <v>1406250</v>
      </c>
      <c r="L17" s="78">
        <f t="shared" si="5"/>
        <v>51761832.640104868</v>
      </c>
      <c r="M17" s="78">
        <f t="shared" si="3"/>
        <v>406286262.04603148</v>
      </c>
      <c r="P17" s="79">
        <f>[9]nccomp!$C$36</f>
        <v>0</v>
      </c>
      <c r="Q17" s="79">
        <f>[9]nccomp!$C$25</f>
        <v>0</v>
      </c>
      <c r="R17" s="76">
        <f>[9]nccomp!$C$23</f>
        <v>-2991029.4899999998</v>
      </c>
      <c r="S17" s="78">
        <f t="shared" si="4"/>
        <v>-2991029.4899999998</v>
      </c>
    </row>
    <row r="18" spans="3:19" x14ac:dyDescent="0.25">
      <c r="C18" s="75">
        <v>42381</v>
      </c>
      <c r="D18" s="76">
        <f>[10]nccomp!$C$14</f>
        <v>168453499.38382575</v>
      </c>
      <c r="E18" s="77">
        <f>[10]nccomp!$C$16</f>
        <v>1120000000</v>
      </c>
      <c r="F18" s="77">
        <f>[10]nccomp!$C$17</f>
        <v>0</v>
      </c>
      <c r="G18" s="78">
        <f t="shared" si="0"/>
        <v>1120000000</v>
      </c>
      <c r="H18" s="78">
        <f t="shared" si="1"/>
        <v>1288453499.3838258</v>
      </c>
      <c r="I18" s="76">
        <v>53212096.599624828</v>
      </c>
      <c r="J18" s="78">
        <f t="shared" si="2"/>
        <v>1235241402.7842009</v>
      </c>
      <c r="K18" s="76">
        <v>73092000</v>
      </c>
      <c r="L18" s="78">
        <f t="shared" si="5"/>
        <v>126304096.59962483</v>
      </c>
      <c r="M18" s="78">
        <f t="shared" si="3"/>
        <v>1162149402.7842009</v>
      </c>
      <c r="P18" s="79">
        <f>[10]nccomp!$C$36</f>
        <v>0</v>
      </c>
      <c r="Q18" s="79">
        <f>[10]nccomp!$C$25</f>
        <v>0</v>
      </c>
      <c r="R18" s="76">
        <f>[10]nccomp!$C$23</f>
        <v>-5880943.4900000002</v>
      </c>
      <c r="S18" s="78">
        <f t="shared" si="4"/>
        <v>-5880943.4900000002</v>
      </c>
    </row>
    <row r="19" spans="3:19" x14ac:dyDescent="0.25">
      <c r="C19" s="75">
        <v>42382</v>
      </c>
      <c r="D19" s="76">
        <f>[11]nccomp!$C$14</f>
        <v>168146403.33151516</v>
      </c>
      <c r="E19" s="77">
        <f>[11]nccomp!$C$16</f>
        <v>1120000000</v>
      </c>
      <c r="F19" s="77">
        <f>[11]nccomp!$C$17</f>
        <v>0</v>
      </c>
      <c r="G19" s="78">
        <f t="shared" si="0"/>
        <v>1120000000</v>
      </c>
      <c r="H19" s="78">
        <f t="shared" si="1"/>
        <v>1288146403.3315151</v>
      </c>
      <c r="I19" s="76">
        <v>57715780.987708896</v>
      </c>
      <c r="J19" s="78">
        <f t="shared" si="2"/>
        <v>1230430622.3438063</v>
      </c>
      <c r="K19" s="76">
        <v>327750000</v>
      </c>
      <c r="L19" s="78">
        <f t="shared" si="5"/>
        <v>385465780.98770893</v>
      </c>
      <c r="M19" s="78">
        <f t="shared" si="3"/>
        <v>902680622.34380627</v>
      </c>
      <c r="P19" s="79">
        <f>[11]nccomp!$C$36</f>
        <v>0</v>
      </c>
      <c r="Q19" s="76">
        <f>[11]nccomp!$C$25</f>
        <v>-6077793.0735513531</v>
      </c>
      <c r="R19" s="76">
        <f>[11]nccomp!$C$23</f>
        <v>-5891833.8300000001</v>
      </c>
      <c r="S19" s="78">
        <f t="shared" si="4"/>
        <v>-11969626.903551353</v>
      </c>
    </row>
    <row r="20" spans="3:19" x14ac:dyDescent="0.25">
      <c r="C20" s="75">
        <v>42383</v>
      </c>
      <c r="D20" s="76">
        <f>[12]nccomp!$C$14</f>
        <v>179555509.93829545</v>
      </c>
      <c r="E20" s="77">
        <f>[12]nccomp!$C$16-167213</f>
        <v>1119999999.5</v>
      </c>
      <c r="F20" s="77">
        <f>[12]nccomp!$C$17</f>
        <v>0</v>
      </c>
      <c r="G20" s="78">
        <f t="shared" si="0"/>
        <v>1119999999.5</v>
      </c>
      <c r="H20" s="78">
        <f t="shared" si="1"/>
        <v>1299555509.4382954</v>
      </c>
      <c r="I20" s="76">
        <v>52054713.424549334</v>
      </c>
      <c r="J20" s="78">
        <f t="shared" si="2"/>
        <v>1247500796.013746</v>
      </c>
      <c r="K20" s="76"/>
      <c r="L20" s="78">
        <f t="shared" si="5"/>
        <v>52054713.424549334</v>
      </c>
      <c r="M20" s="78">
        <f t="shared" si="3"/>
        <v>1247500796.013746</v>
      </c>
      <c r="P20" s="76">
        <f>[12]nccomp!$C$36</f>
        <v>-475696.54414907948</v>
      </c>
      <c r="Q20" s="76">
        <f>[12]nccomp!$C$25</f>
        <v>0</v>
      </c>
      <c r="R20" s="76">
        <f>[12]nccomp!$C$23</f>
        <v>-5923623.8300000001</v>
      </c>
      <c r="S20" s="78">
        <f t="shared" si="4"/>
        <v>-6399320.3741490794</v>
      </c>
    </row>
    <row r="21" spans="3:19" x14ac:dyDescent="0.25">
      <c r="C21" s="75">
        <v>42384</v>
      </c>
      <c r="D21" s="76">
        <f>[13]nccomp!$C$14</f>
        <v>179238347.9314394</v>
      </c>
      <c r="E21" s="77">
        <f>[13]nccomp!$C$16</f>
        <v>400000000</v>
      </c>
      <c r="F21" s="77">
        <f>[13]nccomp!$C$17</f>
        <v>0</v>
      </c>
      <c r="G21" s="78">
        <f t="shared" si="0"/>
        <v>400000000</v>
      </c>
      <c r="H21" s="78">
        <f t="shared" si="1"/>
        <v>579238347.9314394</v>
      </c>
      <c r="I21" s="76">
        <v>51499646.220794082</v>
      </c>
      <c r="J21" s="78">
        <f t="shared" si="2"/>
        <v>527738701.71064532</v>
      </c>
      <c r="K21" s="76"/>
      <c r="L21" s="78">
        <f t="shared" si="5"/>
        <v>51499646.220794082</v>
      </c>
      <c r="M21" s="78">
        <f t="shared" si="3"/>
        <v>527738701.71064532</v>
      </c>
      <c r="P21" s="79">
        <f>[13]nccomp!$C$36</f>
        <v>0</v>
      </c>
      <c r="Q21" s="76">
        <f>[13]nccomp!$C$25</f>
        <v>-306388.82843626966</v>
      </c>
      <c r="R21" s="76">
        <f>[13]nccomp!$C$23</f>
        <v>-5962740.4000000004</v>
      </c>
      <c r="S21" s="78">
        <f t="shared" si="4"/>
        <v>-6269129.2284362698</v>
      </c>
    </row>
    <row r="22" spans="3:19" x14ac:dyDescent="0.25">
      <c r="C22" s="75">
        <v>42388</v>
      </c>
      <c r="D22" s="76">
        <f>[14]nccomp!$C$14</f>
        <v>179048607.92458335</v>
      </c>
      <c r="E22" s="77">
        <f>[14]nccomp!$C$16+80000</f>
        <v>400000000</v>
      </c>
      <c r="F22" s="77">
        <f>[14]nccomp!$C$17</f>
        <v>0</v>
      </c>
      <c r="G22" s="78">
        <f t="shared" si="0"/>
        <v>400000000</v>
      </c>
      <c r="H22" s="78">
        <f t="shared" si="1"/>
        <v>579048607.92458332</v>
      </c>
      <c r="I22" s="76">
        <v>66051157.72490032</v>
      </c>
      <c r="J22" s="78">
        <f t="shared" si="2"/>
        <v>512997450.19968301</v>
      </c>
      <c r="K22" s="76"/>
      <c r="L22" s="78">
        <f t="shared" si="5"/>
        <v>66051157.72490032</v>
      </c>
      <c r="M22" s="78">
        <f t="shared" si="3"/>
        <v>512997450.19968301</v>
      </c>
      <c r="P22" s="76">
        <v>-408415.2799999998</v>
      </c>
      <c r="Q22" s="76">
        <v>-865304.74856279604</v>
      </c>
      <c r="R22" s="76">
        <v>-5284575.34</v>
      </c>
      <c r="S22" s="78">
        <f t="shared" si="4"/>
        <v>-6558295.3685627952</v>
      </c>
    </row>
    <row r="23" spans="3:19" x14ac:dyDescent="0.25">
      <c r="C23" s="75">
        <v>42389</v>
      </c>
      <c r="D23" s="76">
        <f>[15]nccomp!$C$14</f>
        <v>178731445.91772726</v>
      </c>
      <c r="E23" s="77">
        <f>[15]nccomp!$C$16+80000</f>
        <v>400000000</v>
      </c>
      <c r="F23" s="77">
        <f>[15]nccomp!$C$17</f>
        <v>0</v>
      </c>
      <c r="G23" s="78">
        <f t="shared" si="0"/>
        <v>400000000</v>
      </c>
      <c r="H23" s="78">
        <f t="shared" si="1"/>
        <v>578731445.91772723</v>
      </c>
      <c r="I23" s="76">
        <v>59981043.287418962</v>
      </c>
      <c r="J23" s="78">
        <f t="shared" si="2"/>
        <v>518750402.63030827</v>
      </c>
      <c r="K23" s="76"/>
      <c r="L23" s="78">
        <f t="shared" si="5"/>
        <v>59981043.287418962</v>
      </c>
      <c r="M23" s="78">
        <f t="shared" si="3"/>
        <v>518750402.63030827</v>
      </c>
      <c r="P23" s="76">
        <v>-4548.2699999999022</v>
      </c>
      <c r="Q23" s="76">
        <v>-6992007.5454481579</v>
      </c>
      <c r="R23" s="76">
        <v>-2823111.74</v>
      </c>
      <c r="S23" s="78">
        <f t="shared" si="4"/>
        <v>-9819667.5554481577</v>
      </c>
    </row>
    <row r="24" spans="3:19" x14ac:dyDescent="0.25">
      <c r="C24" s="75">
        <v>42390</v>
      </c>
      <c r="D24" s="76">
        <f>[16]nccomp!$C$14</f>
        <v>173224134.91087121</v>
      </c>
      <c r="E24" s="77">
        <f>[16]nccomp!$C$16+80000</f>
        <v>400080000</v>
      </c>
      <c r="F24" s="77">
        <f>[16]nccomp!$C$17</f>
        <v>0</v>
      </c>
      <c r="G24" s="78">
        <f t="shared" si="0"/>
        <v>400080000</v>
      </c>
      <c r="H24" s="78">
        <f t="shared" si="1"/>
        <v>573304134.91087127</v>
      </c>
      <c r="I24" s="76">
        <v>48366245.181248143</v>
      </c>
      <c r="J24" s="78">
        <f t="shared" si="2"/>
        <v>524937889.72962314</v>
      </c>
      <c r="K24" s="76"/>
      <c r="L24" s="78">
        <f t="shared" ref="L24:L85" si="6">+I24+K24</f>
        <v>48366245.181248143</v>
      </c>
      <c r="M24" s="78">
        <f t="shared" si="3"/>
        <v>524937889.72962314</v>
      </c>
      <c r="P24" s="76">
        <f>[16]nccomp!$C$36</f>
        <v>-8411.6800000001676</v>
      </c>
      <c r="Q24" s="76">
        <f>[16]nccomp!$C$25</f>
        <v>-1400019.383647443</v>
      </c>
      <c r="R24" s="76">
        <f>[16]nccomp!$C$23</f>
        <v>-2818383.63</v>
      </c>
      <c r="S24" s="78">
        <f t="shared" si="4"/>
        <v>-4226814.6936474433</v>
      </c>
    </row>
    <row r="25" spans="3:19" x14ac:dyDescent="0.25">
      <c r="C25" s="75">
        <v>42391</v>
      </c>
      <c r="D25" s="76">
        <f>[17]nccomp!$C$14</f>
        <v>172906972.90401515</v>
      </c>
      <c r="E25" s="77">
        <f>[17]nccomp!$C$16+80000</f>
        <v>80000</v>
      </c>
      <c r="F25" s="77">
        <f>[17]nccomp!$C$17</f>
        <v>0</v>
      </c>
      <c r="G25" s="78">
        <f t="shared" si="0"/>
        <v>80000</v>
      </c>
      <c r="H25" s="78">
        <f t="shared" si="1"/>
        <v>172986972.90401515</v>
      </c>
      <c r="I25" s="76">
        <v>47575095.271117344</v>
      </c>
      <c r="J25" s="78">
        <f t="shared" si="2"/>
        <v>125411877.63289781</v>
      </c>
      <c r="K25" s="76">
        <v>5257500</v>
      </c>
      <c r="L25" s="78">
        <f t="shared" si="6"/>
        <v>52832595.271117344</v>
      </c>
      <c r="M25" s="78">
        <f t="shared" si="3"/>
        <v>120154377.63289781</v>
      </c>
      <c r="P25" s="76">
        <f>[17]nccomp!$C$36</f>
        <v>-10948.959999999963</v>
      </c>
      <c r="Q25" s="76">
        <f>[17]nccomp!$C$25</f>
        <v>-1249053.217905398</v>
      </c>
      <c r="R25" s="76">
        <f>[17]nccomp!$C$23</f>
        <v>-2789569.0300000003</v>
      </c>
      <c r="S25" s="78">
        <f t="shared" si="4"/>
        <v>-4049571.2079053982</v>
      </c>
    </row>
    <row r="26" spans="3:19" x14ac:dyDescent="0.25">
      <c r="C26" s="75">
        <v>42394</v>
      </c>
      <c r="D26" s="76">
        <f>[18]nccomp!$C$14</f>
        <v>172671450.8971591</v>
      </c>
      <c r="E26" s="77">
        <f>[18]nccomp!$C$16</f>
        <v>204967000</v>
      </c>
      <c r="F26" s="77">
        <f>[18]nccomp!$C$17</f>
        <v>0</v>
      </c>
      <c r="G26" s="78">
        <f t="shared" si="0"/>
        <v>204967000</v>
      </c>
      <c r="H26" s="78">
        <f t="shared" si="1"/>
        <v>377638450.8971591</v>
      </c>
      <c r="I26" s="76">
        <v>42803090.064551815</v>
      </c>
      <c r="J26" s="78">
        <f t="shared" si="2"/>
        <v>334835360.83260727</v>
      </c>
      <c r="K26" s="76"/>
      <c r="L26" s="78">
        <f t="shared" si="6"/>
        <v>42803090.064551815</v>
      </c>
      <c r="M26" s="78">
        <f t="shared" si="3"/>
        <v>334835360.83260727</v>
      </c>
      <c r="P26" s="76">
        <f>[18]nccomp!$C$36</f>
        <v>-18684.10000000002</v>
      </c>
      <c r="Q26" s="76">
        <f>[18]nccomp!$C$25</f>
        <v>-733118.15</v>
      </c>
      <c r="R26" s="76">
        <f>[18]nccomp!$C$23</f>
        <v>-2285968.7599999998</v>
      </c>
      <c r="S26" s="78">
        <f t="shared" si="4"/>
        <v>-3037771.01</v>
      </c>
    </row>
    <row r="27" spans="3:19" x14ac:dyDescent="0.25">
      <c r="C27" s="75">
        <v>42395</v>
      </c>
      <c r="D27" s="76">
        <f>[19]nccomp!$C$14</f>
        <v>172354288.89030302</v>
      </c>
      <c r="E27" s="77">
        <f>[19]nccomp!$C$16</f>
        <v>204967000</v>
      </c>
      <c r="F27" s="77">
        <f>[19]nccomp!$C$17</f>
        <v>0</v>
      </c>
      <c r="G27" s="78">
        <f t="shared" si="0"/>
        <v>204967000</v>
      </c>
      <c r="H27" s="78">
        <f t="shared" si="1"/>
        <v>377321288.89030302</v>
      </c>
      <c r="I27" s="76">
        <v>49479206.748231873</v>
      </c>
      <c r="J27" s="78">
        <f t="shared" si="2"/>
        <v>327842082.14207113</v>
      </c>
      <c r="K27" s="76">
        <v>66487.5</v>
      </c>
      <c r="L27" s="78">
        <f t="shared" si="6"/>
        <v>49545694.248231873</v>
      </c>
      <c r="M27" s="78">
        <f t="shared" si="3"/>
        <v>327775594.64207113</v>
      </c>
      <c r="P27" s="76">
        <f>[19]nccomp!$C$36</f>
        <v>-5750</v>
      </c>
      <c r="Q27" s="76">
        <f>[19]nccomp!$C$25</f>
        <v>-755136.26375582837</v>
      </c>
      <c r="R27" s="76">
        <f>[19]nccomp!$C$23</f>
        <v>-1756368.95</v>
      </c>
      <c r="S27" s="78">
        <f t="shared" si="4"/>
        <v>-2517255.2137558283</v>
      </c>
    </row>
    <row r="28" spans="3:19" x14ac:dyDescent="0.25">
      <c r="C28" s="75">
        <v>42396</v>
      </c>
      <c r="D28" s="76">
        <f>[20]nccomp!$C$14</f>
        <v>172070542.88344696</v>
      </c>
      <c r="E28" s="77">
        <f>[20]nccomp!$C$16</f>
        <v>204967000</v>
      </c>
      <c r="F28" s="77">
        <f>[20]nccomp!$C$17</f>
        <v>0</v>
      </c>
      <c r="G28" s="78">
        <f t="shared" si="0"/>
        <v>204967000</v>
      </c>
      <c r="H28" s="78">
        <f t="shared" si="1"/>
        <v>377037542.88344693</v>
      </c>
      <c r="I28" s="76">
        <v>47615073.05402033</v>
      </c>
      <c r="J28" s="78">
        <f t="shared" si="2"/>
        <v>329422469.82942659</v>
      </c>
      <c r="K28" s="76"/>
      <c r="L28" s="78">
        <f t="shared" si="6"/>
        <v>47615073.05402033</v>
      </c>
      <c r="M28" s="78">
        <f t="shared" si="3"/>
        <v>329422469.82942659</v>
      </c>
      <c r="P28" s="76">
        <f>[20]nccomp!$C$36</f>
        <v>-115.10999999998603</v>
      </c>
      <c r="Q28" s="76">
        <f>[20]nccomp!$C$25</f>
        <v>-730712.04430475645</v>
      </c>
      <c r="R28" s="76">
        <f>[20]nccomp!$C$23</f>
        <v>-352668.85</v>
      </c>
      <c r="S28" s="78">
        <f t="shared" si="4"/>
        <v>-1083496.0043047564</v>
      </c>
    </row>
    <row r="29" spans="3:19" x14ac:dyDescent="0.25">
      <c r="C29" s="75">
        <v>42397</v>
      </c>
      <c r="D29" s="76">
        <f>[21]nccomp!$C$14</f>
        <v>173629631.7565909</v>
      </c>
      <c r="E29" s="77">
        <f>[21]nccomp!$C$16</f>
        <v>289967000</v>
      </c>
      <c r="F29" s="77">
        <f>[21]nccomp!$C$17</f>
        <v>0</v>
      </c>
      <c r="G29" s="78">
        <f t="shared" si="0"/>
        <v>289967000</v>
      </c>
      <c r="H29" s="78">
        <f t="shared" si="1"/>
        <v>463596631.7565909</v>
      </c>
      <c r="I29" s="76">
        <v>45456384.285270393</v>
      </c>
      <c r="J29" s="78">
        <f t="shared" si="2"/>
        <v>418140247.47132051</v>
      </c>
      <c r="K29" s="76">
        <v>375000000</v>
      </c>
      <c r="L29" s="78">
        <f t="shared" si="6"/>
        <v>420456384.28527039</v>
      </c>
      <c r="M29" s="78">
        <f t="shared" si="3"/>
        <v>43140247.47132051</v>
      </c>
      <c r="P29" s="76">
        <f>[21]nccomp!$C$36</f>
        <v>-3289.5800000000745</v>
      </c>
      <c r="Q29" s="76">
        <f>[21]nccomp!$C$25</f>
        <v>-691957.46500000008</v>
      </c>
      <c r="R29" s="76">
        <f>[21]nccomp!$C$23</f>
        <v>-386037.8400000002</v>
      </c>
      <c r="S29" s="78">
        <f t="shared" si="4"/>
        <v>-1081284.8850000002</v>
      </c>
    </row>
    <row r="30" spans="3:19" x14ac:dyDescent="0.25">
      <c r="C30" s="75">
        <v>42398</v>
      </c>
      <c r="D30" s="76">
        <f>[22]nccomp!$C$14</f>
        <v>173312469.74973485</v>
      </c>
      <c r="E30" s="77">
        <f>[22]nccomp!$C$16</f>
        <v>290000000</v>
      </c>
      <c r="F30" s="77">
        <f>[22]nccomp!$C$17</f>
        <v>1571639.23</v>
      </c>
      <c r="G30" s="78">
        <f t="shared" si="0"/>
        <v>291571639.23000002</v>
      </c>
      <c r="H30" s="78">
        <f t="shared" si="1"/>
        <v>464884108.9797349</v>
      </c>
      <c r="I30" s="76">
        <v>44538332.443602897</v>
      </c>
      <c r="J30" s="78">
        <f t="shared" si="2"/>
        <v>420345776.53613198</v>
      </c>
      <c r="K30" s="76">
        <v>65700000</v>
      </c>
      <c r="L30" s="78">
        <f t="shared" si="6"/>
        <v>110238332.44360289</v>
      </c>
      <c r="M30" s="78">
        <f t="shared" si="3"/>
        <v>354645776.53613198</v>
      </c>
      <c r="P30" s="76">
        <f>[22]nccomp!$C$36</f>
        <v>-1634.3699999999953</v>
      </c>
      <c r="Q30" s="76">
        <f>[22]nccomp!$C$25</f>
        <v>-719147.14250000007</v>
      </c>
      <c r="R30" s="76">
        <f>[22]nccomp!$C$23</f>
        <v>-201716.95000000065</v>
      </c>
      <c r="S30" s="78">
        <f t="shared" si="4"/>
        <v>-922498.46250000072</v>
      </c>
    </row>
    <row r="31" spans="3:19" x14ac:dyDescent="0.25">
      <c r="C31" s="75">
        <v>42401</v>
      </c>
      <c r="D31" s="76">
        <f>[23]nccomp!$C$14</f>
        <v>173008512.8628788</v>
      </c>
      <c r="E31" s="77">
        <f>[23]nccomp!$C$16</f>
        <v>290000000</v>
      </c>
      <c r="F31" s="77">
        <f>[23]nccomp!$C$17</f>
        <v>1571639.23</v>
      </c>
      <c r="G31" s="78">
        <f t="shared" si="0"/>
        <v>291571639.23000002</v>
      </c>
      <c r="H31" s="78">
        <f t="shared" si="1"/>
        <v>464580152.09287882</v>
      </c>
      <c r="I31" s="76">
        <v>49230169.5322593</v>
      </c>
      <c r="J31" s="78">
        <f t="shared" si="2"/>
        <v>415349982.56061953</v>
      </c>
      <c r="K31" s="76"/>
      <c r="L31" s="78">
        <f t="shared" si="6"/>
        <v>49230169.5322593</v>
      </c>
      <c r="M31" s="78">
        <f t="shared" si="3"/>
        <v>415349982.56061953</v>
      </c>
      <c r="P31" s="76">
        <f>[23]nccomp!$C$36</f>
        <v>-25875</v>
      </c>
      <c r="Q31" s="76">
        <f>[23]nccomp!$C$25</f>
        <v>0</v>
      </c>
      <c r="R31" s="76">
        <f>[23]nccomp!$C$23</f>
        <v>-107446.35000000009</v>
      </c>
      <c r="S31" s="78">
        <f t="shared" si="4"/>
        <v>-133321.35000000009</v>
      </c>
    </row>
    <row r="32" spans="3:19" x14ac:dyDescent="0.25">
      <c r="C32" s="75">
        <v>42402</v>
      </c>
      <c r="D32" s="76">
        <f>[24]nccomp!$C$14</f>
        <v>180295518.338</v>
      </c>
      <c r="E32" s="77">
        <f>[24]nccomp!$C$16</f>
        <v>290000000</v>
      </c>
      <c r="F32" s="77">
        <f>[24]nccomp!$C$17</f>
        <v>1571639.23</v>
      </c>
      <c r="G32" s="78">
        <f t="shared" si="0"/>
        <v>291571639.23000002</v>
      </c>
      <c r="H32" s="78">
        <f t="shared" si="1"/>
        <v>471867157.56800002</v>
      </c>
      <c r="I32" s="76">
        <v>50153308.826923162</v>
      </c>
      <c r="J32" s="78">
        <f t="shared" si="2"/>
        <v>421713848.74107683</v>
      </c>
      <c r="K32" s="76"/>
      <c r="L32" s="78">
        <f t="shared" si="6"/>
        <v>50153308.826923162</v>
      </c>
      <c r="M32" s="78">
        <f t="shared" si="3"/>
        <v>421713848.74107683</v>
      </c>
      <c r="P32" s="76">
        <f>[24]nccomp!$C$36</f>
        <v>-27255</v>
      </c>
      <c r="Q32" s="76">
        <f>[24]nccomp!$C$25</f>
        <v>-153551.57750000001</v>
      </c>
      <c r="R32" s="76">
        <f>[24]nccomp!$C$23</f>
        <v>31737.649999999849</v>
      </c>
      <c r="S32" s="78">
        <f t="shared" si="4"/>
        <v>-149068.92750000017</v>
      </c>
    </row>
    <row r="33" spans="3:19" x14ac:dyDescent="0.25">
      <c r="C33" s="75">
        <v>42403</v>
      </c>
      <c r="D33" s="76">
        <f>[25]nccomp!$C$14</f>
        <v>180008141.507</v>
      </c>
      <c r="E33" s="77">
        <f>[25]nccomp!$C$16</f>
        <v>290000000</v>
      </c>
      <c r="F33" s="77">
        <f>[25]nccomp!$C$17</f>
        <v>1571639.23</v>
      </c>
      <c r="G33" s="78">
        <f t="shared" si="0"/>
        <v>291571639.23000002</v>
      </c>
      <c r="H33" s="78">
        <f t="shared" si="1"/>
        <v>471579780.73699999</v>
      </c>
      <c r="I33" s="76">
        <v>48603142.055244595</v>
      </c>
      <c r="J33" s="78">
        <f t="shared" si="2"/>
        <v>422976638.68175542</v>
      </c>
      <c r="K33" s="76"/>
      <c r="L33" s="78">
        <f t="shared" si="6"/>
        <v>48603142.055244595</v>
      </c>
      <c r="M33" s="78">
        <f t="shared" si="3"/>
        <v>422976638.68175542</v>
      </c>
      <c r="P33" s="76">
        <f>[25]nccomp!$C$36</f>
        <v>-127866.72262023427</v>
      </c>
      <c r="Q33" s="76">
        <f>[25]nccomp!$C$25</f>
        <v>-449430.67833792744</v>
      </c>
      <c r="R33" s="76">
        <f>[25]nccomp!$C$23</f>
        <v>-97835.000000000669</v>
      </c>
      <c r="S33" s="78">
        <f t="shared" si="4"/>
        <v>-675132.40095816238</v>
      </c>
    </row>
    <row r="34" spans="3:19" x14ac:dyDescent="0.25">
      <c r="C34" s="75">
        <v>42404</v>
      </c>
      <c r="D34" s="76">
        <f>[26]nccomp!$C$14</f>
        <v>178324464.176</v>
      </c>
      <c r="E34" s="77">
        <f>[26]nccomp!$C$16</f>
        <v>290000000</v>
      </c>
      <c r="F34" s="77">
        <f>[26]nccomp!$C$17</f>
        <v>1571639.23</v>
      </c>
      <c r="G34" s="78">
        <f t="shared" si="0"/>
        <v>291571639.23000002</v>
      </c>
      <c r="H34" s="78">
        <f t="shared" si="1"/>
        <v>469896103.40600002</v>
      </c>
      <c r="I34" s="76">
        <v>47867060.512680821</v>
      </c>
      <c r="J34" s="78">
        <f t="shared" si="2"/>
        <v>422029042.89331919</v>
      </c>
      <c r="K34" s="76"/>
      <c r="L34" s="78">
        <f t="shared" si="6"/>
        <v>47867060.512680821</v>
      </c>
      <c r="M34" s="78">
        <f t="shared" si="3"/>
        <v>422029042.89331919</v>
      </c>
      <c r="P34" s="76">
        <f>[26]nccomp!$C$36</f>
        <v>-48411.110000000219</v>
      </c>
      <c r="Q34" s="76">
        <f>[26]nccomp!$C$25</f>
        <v>-563733.47875371529</v>
      </c>
      <c r="R34" s="76">
        <f>[26]nccomp!$C$23</f>
        <v>-1137748.81</v>
      </c>
      <c r="S34" s="78">
        <f t="shared" si="4"/>
        <v>-1749893.3987537157</v>
      </c>
    </row>
    <row r="35" spans="3:19" x14ac:dyDescent="0.25">
      <c r="C35" s="75">
        <v>42405</v>
      </c>
      <c r="D35" s="76">
        <f>[27]nccomp!$C$14</f>
        <v>178037087.345</v>
      </c>
      <c r="E35" s="77">
        <f>[27]nccomp!$C$16</f>
        <v>290000000</v>
      </c>
      <c r="F35" s="77">
        <f>[27]nccomp!$C$17</f>
        <v>1571639.23</v>
      </c>
      <c r="G35" s="78">
        <f t="shared" si="0"/>
        <v>291571639.23000002</v>
      </c>
      <c r="H35" s="78">
        <f t="shared" si="1"/>
        <v>469608726.57500005</v>
      </c>
      <c r="I35" s="76">
        <v>47561408.515250251</v>
      </c>
      <c r="J35" s="78">
        <f t="shared" si="2"/>
        <v>422047318.05974978</v>
      </c>
      <c r="K35" s="76"/>
      <c r="L35" s="78">
        <f t="shared" si="6"/>
        <v>47561408.515250251</v>
      </c>
      <c r="M35" s="78">
        <f t="shared" si="3"/>
        <v>422047318.05974978</v>
      </c>
      <c r="P35" s="76">
        <f>[27]nccomp!$C$36</f>
        <v>-114120.27282811483</v>
      </c>
      <c r="Q35" s="76">
        <f>[27]nccomp!$C$25</f>
        <v>-2899148.1567563005</v>
      </c>
      <c r="R35" s="76">
        <f>[27]nccomp!$C$23</f>
        <v>-38810.930791495775</v>
      </c>
      <c r="S35" s="78">
        <f t="shared" si="4"/>
        <v>-3052079.360375911</v>
      </c>
    </row>
    <row r="36" spans="3:19" x14ac:dyDescent="0.25">
      <c r="C36" s="75">
        <v>42408</v>
      </c>
      <c r="D36" s="76">
        <f>[28]nccomp!$C$14</f>
        <v>177749710.514</v>
      </c>
      <c r="E36" s="77">
        <f>[28]nccomp!$C$16</f>
        <v>290000000</v>
      </c>
      <c r="F36" s="77">
        <f>[28]nccomp!$C$17</f>
        <v>1571639.23</v>
      </c>
      <c r="G36" s="78">
        <f t="shared" si="0"/>
        <v>291571639.23000002</v>
      </c>
      <c r="H36" s="78">
        <f t="shared" si="1"/>
        <v>469321349.74400002</v>
      </c>
      <c r="I36" s="76">
        <v>46121126.124333791</v>
      </c>
      <c r="J36" s="78">
        <f t="shared" si="2"/>
        <v>423200223.61966622</v>
      </c>
      <c r="K36" s="76"/>
      <c r="L36" s="78">
        <f t="shared" si="6"/>
        <v>46121126.124333791</v>
      </c>
      <c r="M36" s="78">
        <f t="shared" si="3"/>
        <v>423200223.61966622</v>
      </c>
      <c r="P36" s="76">
        <f>[28]nccomp!$C$36</f>
        <v>-127247.26984951636</v>
      </c>
      <c r="Q36" s="76">
        <f>[28]nccomp!$C$25</f>
        <v>-1114211.1133650127</v>
      </c>
      <c r="R36" s="76">
        <f>[28]nccomp!$C$23</f>
        <v>-124902.51974785453</v>
      </c>
      <c r="S36" s="78">
        <f t="shared" si="4"/>
        <v>-1366360.9029623836</v>
      </c>
    </row>
    <row r="37" spans="3:19" x14ac:dyDescent="0.25">
      <c r="C37" s="75">
        <v>42409</v>
      </c>
      <c r="D37" s="76">
        <f>[29]nccomp!$C$14</f>
        <v>177462333.683</v>
      </c>
      <c r="E37" s="77">
        <f>[29]nccomp!$C$16</f>
        <v>290000000</v>
      </c>
      <c r="F37" s="77">
        <f>[29]nccomp!$C$17</f>
        <v>1571639.23</v>
      </c>
      <c r="G37" s="78">
        <f t="shared" si="0"/>
        <v>291571639.23000002</v>
      </c>
      <c r="H37" s="78">
        <f t="shared" si="1"/>
        <v>469033972.91299999</v>
      </c>
      <c r="I37" s="76">
        <v>48422364.922317065</v>
      </c>
      <c r="J37" s="78">
        <f t="shared" si="2"/>
        <v>420611607.9906829</v>
      </c>
      <c r="K37" s="76"/>
      <c r="L37" s="78">
        <f t="shared" si="6"/>
        <v>48422364.922317065</v>
      </c>
      <c r="M37" s="78">
        <f t="shared" si="3"/>
        <v>420611607.9906829</v>
      </c>
      <c r="P37" s="76">
        <f>[29]nccomp!$C$36</f>
        <v>-74821.110000000044</v>
      </c>
      <c r="Q37" s="76">
        <f>[29]nccomp!$C$25</f>
        <v>-1142712.0375529206</v>
      </c>
      <c r="R37" s="76">
        <f>[29]nccomp!$C$23</f>
        <v>-128375.37999999974</v>
      </c>
      <c r="S37" s="78">
        <f t="shared" si="4"/>
        <v>-1345908.5275529204</v>
      </c>
    </row>
    <row r="38" spans="3:19" x14ac:dyDescent="0.25">
      <c r="C38" s="75">
        <v>42410</v>
      </c>
      <c r="D38" s="76">
        <f>[30]nccomp!$C$14</f>
        <v>177174956.852</v>
      </c>
      <c r="E38" s="77">
        <f>[30]nccomp!$C$16</f>
        <v>290000000</v>
      </c>
      <c r="F38" s="77">
        <f>[30]nccomp!$C$17</f>
        <v>1571639.23</v>
      </c>
      <c r="G38" s="78">
        <f t="shared" si="0"/>
        <v>291571639.23000002</v>
      </c>
      <c r="H38" s="78">
        <f t="shared" si="1"/>
        <v>468746596.08200002</v>
      </c>
      <c r="I38" s="76">
        <v>50555477.990270548</v>
      </c>
      <c r="J38" s="78">
        <f t="shared" si="2"/>
        <v>418191118.09172946</v>
      </c>
      <c r="K38" s="76"/>
      <c r="L38" s="78">
        <f t="shared" si="6"/>
        <v>50555477.990270548</v>
      </c>
      <c r="M38" s="78">
        <f t="shared" si="3"/>
        <v>418191118.09172946</v>
      </c>
      <c r="P38" s="76">
        <f>[30]nccomp!$C$36</f>
        <v>-90731.496107817802</v>
      </c>
      <c r="Q38" s="76">
        <f>[30]nccomp!$C$25</f>
        <v>-256031.24524088184</v>
      </c>
      <c r="R38" s="76">
        <f>[30]nccomp!$C$23</f>
        <v>-136787.19999999969</v>
      </c>
      <c r="S38" s="78">
        <f t="shared" si="4"/>
        <v>-483549.94134869939</v>
      </c>
    </row>
    <row r="39" spans="3:19" x14ac:dyDescent="0.25">
      <c r="C39" s="75">
        <v>42411</v>
      </c>
      <c r="D39" s="76">
        <f>[31]nccomp!$C$14</f>
        <v>176887580.021</v>
      </c>
      <c r="E39" s="77">
        <f>[31]nccomp!$C$16</f>
        <v>290000000</v>
      </c>
      <c r="F39" s="77">
        <f>[31]nccomp!$C$17</f>
        <v>1571639.23</v>
      </c>
      <c r="G39" s="78">
        <f t="shared" si="0"/>
        <v>291571639.23000002</v>
      </c>
      <c r="H39" s="78">
        <f t="shared" si="1"/>
        <v>468459219.25100005</v>
      </c>
      <c r="I39" s="76">
        <v>59990568.192288451</v>
      </c>
      <c r="J39" s="78">
        <f t="shared" si="2"/>
        <v>408468651.05871159</v>
      </c>
      <c r="K39" s="76"/>
      <c r="L39" s="78">
        <f t="shared" si="6"/>
        <v>59990568.192288451</v>
      </c>
      <c r="M39" s="78">
        <f t="shared" si="3"/>
        <v>408468651.05871159</v>
      </c>
      <c r="P39" s="76">
        <f>[31]nccomp!$C$36</f>
        <v>0</v>
      </c>
      <c r="Q39" s="76">
        <f>[31]nccomp!$C$25</f>
        <v>-851506.75962345512</v>
      </c>
      <c r="R39" s="76">
        <f>[31]nccomp!$C$23</f>
        <v>-109180.16000000006</v>
      </c>
      <c r="S39" s="78">
        <f t="shared" si="4"/>
        <v>-960686.91962345515</v>
      </c>
    </row>
    <row r="40" spans="3:19" x14ac:dyDescent="0.25">
      <c r="C40" s="75">
        <v>42412</v>
      </c>
      <c r="D40" s="76">
        <f>[32]nccomp!$C$14</f>
        <v>176600203.19</v>
      </c>
      <c r="E40" s="77">
        <f>[32]nccomp!$C$16</f>
        <v>0</v>
      </c>
      <c r="F40" s="77">
        <f>[32]nccomp!$C$17</f>
        <v>1571639.23</v>
      </c>
      <c r="G40" s="78">
        <f t="shared" si="0"/>
        <v>1571639.23</v>
      </c>
      <c r="H40" s="78">
        <f t="shared" si="1"/>
        <v>178171842.41999999</v>
      </c>
      <c r="I40" s="76">
        <v>63322794.692199282</v>
      </c>
      <c r="J40" s="78">
        <f t="shared" si="2"/>
        <v>114849047.7278007</v>
      </c>
      <c r="K40" s="76"/>
      <c r="L40" s="78">
        <f t="shared" si="6"/>
        <v>63322794.692199282</v>
      </c>
      <c r="M40" s="78">
        <f t="shared" si="3"/>
        <v>114849047.7278007</v>
      </c>
      <c r="P40" s="76">
        <f>[32]nccomp!$C$36</f>
        <v>-36666.389999999898</v>
      </c>
      <c r="Q40" s="76">
        <f>[32]nccomp!$C$25</f>
        <v>-302541.61652910156</v>
      </c>
      <c r="R40" s="76">
        <f>[32]nccomp!$C$23</f>
        <v>-59342.109999999993</v>
      </c>
      <c r="S40" s="78">
        <f t="shared" si="4"/>
        <v>-398550.11652910145</v>
      </c>
    </row>
    <row r="41" spans="3:19" x14ac:dyDescent="0.25">
      <c r="C41" s="75">
        <v>42416</v>
      </c>
      <c r="D41" s="76">
        <f>[33]nccomp!$C$14</f>
        <v>176474920.109</v>
      </c>
      <c r="E41" s="77">
        <f>[33]nccomp!$C$16</f>
        <v>0</v>
      </c>
      <c r="F41" s="77">
        <f>[33]nccomp!$C$17</f>
        <v>1571639.23</v>
      </c>
      <c r="G41" s="78">
        <f t="shared" si="0"/>
        <v>1571639.23</v>
      </c>
      <c r="H41" s="78">
        <f t="shared" si="1"/>
        <v>178046559.33899999</v>
      </c>
      <c r="I41" s="76">
        <v>65107919.577173337</v>
      </c>
      <c r="J41" s="78">
        <f t="shared" si="2"/>
        <v>112938639.76182665</v>
      </c>
      <c r="K41" s="76">
        <v>8062500</v>
      </c>
      <c r="L41" s="78">
        <f t="shared" si="6"/>
        <v>73170419.577173337</v>
      </c>
      <c r="M41" s="78">
        <f t="shared" si="3"/>
        <v>104876139.76182665</v>
      </c>
      <c r="P41" s="76">
        <f>[33]nccomp!$C$36</f>
        <v>-172964.53823596265</v>
      </c>
      <c r="Q41" s="76">
        <f>[33]nccomp!$C$25</f>
        <v>-729853.22559203906</v>
      </c>
      <c r="R41" s="76">
        <f>[33]nccomp!$C$23</f>
        <v>-73954.550000000279</v>
      </c>
      <c r="S41" s="78">
        <f t="shared" si="4"/>
        <v>-976772.31382800196</v>
      </c>
    </row>
    <row r="42" spans="3:19" x14ac:dyDescent="0.25">
      <c r="C42" s="75">
        <v>42417</v>
      </c>
      <c r="D42" s="76">
        <f>[34]nccomp!$C$14</f>
        <v>176187543.278</v>
      </c>
      <c r="E42" s="77">
        <f>[34]nccomp!$C$16</f>
        <v>344344</v>
      </c>
      <c r="F42" s="77">
        <f>[34]nccomp!$C$17</f>
        <v>1571639.23</v>
      </c>
      <c r="G42" s="78">
        <f t="shared" si="0"/>
        <v>1915983.23</v>
      </c>
      <c r="H42" s="78">
        <f t="shared" si="1"/>
        <v>178103526.50799999</v>
      </c>
      <c r="I42" s="76">
        <v>62968992.126054138</v>
      </c>
      <c r="J42" s="78">
        <f t="shared" si="2"/>
        <v>115134534.38194585</v>
      </c>
      <c r="K42" s="76"/>
      <c r="L42" s="78">
        <f t="shared" si="6"/>
        <v>62968992.126054138</v>
      </c>
      <c r="M42" s="78">
        <f t="shared" si="3"/>
        <v>115134534.38194585</v>
      </c>
      <c r="P42" s="76">
        <f>[34]nccomp!$C$36</f>
        <v>-190179.71299466773</v>
      </c>
      <c r="Q42" s="76">
        <f>[34]nccomp!$C$25</f>
        <v>-1205588.5520315508</v>
      </c>
      <c r="R42" s="76">
        <f>[34]nccomp!$C$23</f>
        <v>-373175.94000000035</v>
      </c>
      <c r="S42" s="78">
        <f t="shared" si="4"/>
        <v>-1768944.2050262189</v>
      </c>
    </row>
    <row r="43" spans="3:19" x14ac:dyDescent="0.25">
      <c r="C43" s="75">
        <v>42418</v>
      </c>
      <c r="D43" s="76">
        <f>[35]nccomp!$C$14</f>
        <v>175900166.447</v>
      </c>
      <c r="E43" s="77">
        <f>[35]nccomp!$C$16</f>
        <v>0</v>
      </c>
      <c r="F43" s="77">
        <f>[35]nccomp!$C$17</f>
        <v>1571639.23</v>
      </c>
      <c r="G43" s="78">
        <f t="shared" si="0"/>
        <v>1571639.23</v>
      </c>
      <c r="H43" s="78">
        <f t="shared" si="1"/>
        <v>177471805.67699999</v>
      </c>
      <c r="I43" s="76">
        <v>60572393.983297125</v>
      </c>
      <c r="J43" s="78">
        <f t="shared" si="2"/>
        <v>116899411.69370286</v>
      </c>
      <c r="K43" s="76">
        <v>9000000</v>
      </c>
      <c r="L43" s="78">
        <f t="shared" si="6"/>
        <v>69572393.983297125</v>
      </c>
      <c r="M43" s="78">
        <f t="shared" si="3"/>
        <v>107899411.69370286</v>
      </c>
      <c r="P43" s="76">
        <f>[35]nccomp!$C$36</f>
        <v>-158431.74221618974</v>
      </c>
      <c r="Q43" s="76">
        <f>[35]nccomp!$C$25</f>
        <v>-812275.47808104136</v>
      </c>
      <c r="R43" s="76">
        <f>[35]nccomp!$C$23</f>
        <v>-662981.06000000041</v>
      </c>
      <c r="S43" s="78">
        <f t="shared" si="4"/>
        <v>-1633688.2802972314</v>
      </c>
    </row>
    <row r="44" spans="3:19" x14ac:dyDescent="0.25">
      <c r="C44" s="75">
        <v>42419</v>
      </c>
      <c r="D44" s="76">
        <f>[36]nccomp!$C$14</f>
        <v>175612789.616</v>
      </c>
      <c r="E44" s="77">
        <f>[36]nccomp!$C$16</f>
        <v>0</v>
      </c>
      <c r="F44" s="77">
        <f>[36]nccomp!$C$17</f>
        <v>1571639.23</v>
      </c>
      <c r="G44" s="78">
        <f t="shared" si="0"/>
        <v>1571639.23</v>
      </c>
      <c r="H44" s="78">
        <f t="shared" si="1"/>
        <v>177184428.84599999</v>
      </c>
      <c r="I44" s="76">
        <v>63123282.484769419</v>
      </c>
      <c r="J44" s="78">
        <f t="shared" si="2"/>
        <v>114061146.36123057</v>
      </c>
      <c r="K44" s="76"/>
      <c r="L44" s="78">
        <f t="shared" si="6"/>
        <v>63123282.484769419</v>
      </c>
      <c r="M44" s="78">
        <f t="shared" si="3"/>
        <v>114061146.36123057</v>
      </c>
      <c r="P44" s="76">
        <f>[36]nccomp!$C$36</f>
        <v>-7564.4369492199621</v>
      </c>
      <c r="Q44" s="76">
        <f>[36]nccomp!$C$25</f>
        <v>-909886.06221118616</v>
      </c>
      <c r="R44" s="76">
        <f>[36]nccomp!$C$23</f>
        <v>-1340670.1199999996</v>
      </c>
      <c r="S44" s="78">
        <f t="shared" si="4"/>
        <v>-2258120.6191604058</v>
      </c>
    </row>
    <row r="45" spans="3:19" x14ac:dyDescent="0.25">
      <c r="C45" s="75">
        <v>42422</v>
      </c>
      <c r="D45" s="76">
        <f>[37]nccomp!$C$14</f>
        <v>175325412.785</v>
      </c>
      <c r="E45" s="77">
        <f>[37]nccomp!$C$16</f>
        <v>0</v>
      </c>
      <c r="F45" s="77">
        <f>[37]nccomp!$C$17</f>
        <v>1571639.23</v>
      </c>
      <c r="G45" s="78">
        <f t="shared" si="0"/>
        <v>1571639.23</v>
      </c>
      <c r="H45" s="78">
        <f t="shared" si="1"/>
        <v>176897052.01499999</v>
      </c>
      <c r="I45" s="76">
        <v>61587402.124577224</v>
      </c>
      <c r="J45" s="78">
        <f t="shared" si="2"/>
        <v>115309649.89042276</v>
      </c>
      <c r="K45" s="76">
        <v>5400000</v>
      </c>
      <c r="L45" s="78">
        <f t="shared" si="6"/>
        <v>66987402.124577224</v>
      </c>
      <c r="M45" s="78">
        <f t="shared" si="3"/>
        <v>109909649.89042276</v>
      </c>
      <c r="P45" s="76">
        <f>[37]nccomp!$C$36</f>
        <v>-202123.05335079849</v>
      </c>
      <c r="Q45" s="76">
        <f>[37]nccomp!$C$25</f>
        <v>-451353.94845887471</v>
      </c>
      <c r="R45" s="76">
        <f>[37]nccomp!$C$23</f>
        <v>-483199.03934423462</v>
      </c>
      <c r="S45" s="78">
        <f t="shared" si="4"/>
        <v>-1136676.0411539078</v>
      </c>
    </row>
    <row r="46" spans="3:19" x14ac:dyDescent="0.25">
      <c r="C46" s="75">
        <v>42423</v>
      </c>
      <c r="D46" s="76">
        <f>[38]nccomp!$C$14</f>
        <v>175038035.954</v>
      </c>
      <c r="E46" s="77">
        <f>[38]nccomp!$C$16</f>
        <v>0</v>
      </c>
      <c r="F46" s="77">
        <f>[38]nccomp!$C$17</f>
        <v>1571639.23</v>
      </c>
      <c r="G46" s="78">
        <f t="shared" si="0"/>
        <v>1571639.23</v>
      </c>
      <c r="H46" s="78">
        <f t="shared" si="1"/>
        <v>176609675.18399999</v>
      </c>
      <c r="I46" s="76">
        <v>61692519.569361083</v>
      </c>
      <c r="J46" s="78">
        <f t="shared" si="2"/>
        <v>114917155.61463889</v>
      </c>
      <c r="K46" s="76"/>
      <c r="L46" s="78">
        <f t="shared" si="6"/>
        <v>61692519.569361083</v>
      </c>
      <c r="M46" s="78">
        <f t="shared" si="3"/>
        <v>114917155.61463889</v>
      </c>
      <c r="P46" s="76">
        <f>[38]nccomp!$C$36</f>
        <v>-306552.37081426865</v>
      </c>
      <c r="Q46" s="76">
        <f>[38]nccomp!$C$25</f>
        <v>-2296035.9497647854</v>
      </c>
      <c r="R46" s="76">
        <f>[38]nccomp!$C$23</f>
        <v>-513170.40213905158</v>
      </c>
      <c r="S46" s="78">
        <f t="shared" si="4"/>
        <v>-3115758.7227181057</v>
      </c>
    </row>
    <row r="47" spans="3:19" x14ac:dyDescent="0.25">
      <c r="C47" s="75">
        <v>42424</v>
      </c>
      <c r="D47" s="76">
        <f>[39]nccomp!$C$14</f>
        <v>174750659.123</v>
      </c>
      <c r="E47" s="77">
        <f>[39]nccomp!$C$16</f>
        <v>0</v>
      </c>
      <c r="F47" s="77">
        <f>[39]nccomp!$C$17</f>
        <v>1571639.23</v>
      </c>
      <c r="G47" s="78">
        <f t="shared" si="0"/>
        <v>1571639.23</v>
      </c>
      <c r="H47" s="78">
        <f t="shared" si="1"/>
        <v>176322298.35299999</v>
      </c>
      <c r="I47" s="76">
        <v>65789075.502644829</v>
      </c>
      <c r="J47" s="78">
        <f t="shared" si="2"/>
        <v>110533222.85035515</v>
      </c>
      <c r="K47" s="76"/>
      <c r="L47" s="78">
        <f t="shared" si="6"/>
        <v>65789075.502644829</v>
      </c>
      <c r="M47" s="78">
        <f t="shared" si="3"/>
        <v>110533222.85035515</v>
      </c>
      <c r="P47" s="76">
        <f>[39]nccomp!$C$36</f>
        <v>-248006.97648262154</v>
      </c>
      <c r="Q47" s="76">
        <f>[39]nccomp!$C$25</f>
        <v>-2503438.6859662179</v>
      </c>
      <c r="R47" s="76">
        <f>[39]nccomp!$C$23</f>
        <v>-103419.42000000007</v>
      </c>
      <c r="S47" s="78">
        <f t="shared" si="4"/>
        <v>-2854865.0824488392</v>
      </c>
    </row>
    <row r="48" spans="3:19" x14ac:dyDescent="0.25">
      <c r="C48" s="75">
        <v>42425</v>
      </c>
      <c r="D48" s="76">
        <f>[40]nccomp!$C$14</f>
        <v>174652095.042</v>
      </c>
      <c r="E48" s="77">
        <f>[40]nccomp!$C$16</f>
        <v>0</v>
      </c>
      <c r="F48" s="77">
        <f>[40]nccomp!$C$17</f>
        <v>1571639.23</v>
      </c>
      <c r="G48" s="78">
        <f t="shared" si="0"/>
        <v>1571639.23</v>
      </c>
      <c r="H48" s="78">
        <f t="shared" si="1"/>
        <v>176223734.27199998</v>
      </c>
      <c r="I48" s="76">
        <v>64614107.371230423</v>
      </c>
      <c r="J48" s="78">
        <f t="shared" si="2"/>
        <v>111609626.90076956</v>
      </c>
      <c r="K48" s="76">
        <v>21375000</v>
      </c>
      <c r="L48" s="78">
        <f t="shared" si="6"/>
        <v>85989107.371230423</v>
      </c>
      <c r="M48" s="78">
        <f t="shared" si="3"/>
        <v>90234626.900769562</v>
      </c>
      <c r="P48" s="76">
        <f>[40]nccomp!$C$36</f>
        <v>-247130.08002690796</v>
      </c>
      <c r="Q48" s="76">
        <f>[40]nccomp!$C$25</f>
        <v>-2225543.8304378544</v>
      </c>
      <c r="R48" s="76">
        <f>[40]nccomp!$C$23</f>
        <v>-86773.750000000015</v>
      </c>
      <c r="S48" s="78">
        <f t="shared" si="4"/>
        <v>-2559447.6604647622</v>
      </c>
    </row>
    <row r="49" spans="3:19" x14ac:dyDescent="0.25">
      <c r="C49" s="75">
        <v>42426</v>
      </c>
      <c r="D49" s="76">
        <f>[41]nccomp!$C$14</f>
        <v>174364718.211</v>
      </c>
      <c r="E49" s="77">
        <f>[41]nccomp!$C$16</f>
        <v>0</v>
      </c>
      <c r="F49" s="77">
        <f>[41]nccomp!$C$17</f>
        <v>1571639.23</v>
      </c>
      <c r="G49" s="78">
        <f t="shared" si="0"/>
        <v>1571639.23</v>
      </c>
      <c r="H49" s="78">
        <f t="shared" si="1"/>
        <v>175936357.44099998</v>
      </c>
      <c r="I49" s="76">
        <v>69246829.586418509</v>
      </c>
      <c r="J49" s="78">
        <f t="shared" si="2"/>
        <v>106689527.85458148</v>
      </c>
      <c r="K49" s="76"/>
      <c r="L49" s="78">
        <f t="shared" si="6"/>
        <v>69246829.586418509</v>
      </c>
      <c r="M49" s="78">
        <f t="shared" si="3"/>
        <v>106689527.85458148</v>
      </c>
      <c r="P49" s="76">
        <f>[41]nccomp!$C$36</f>
        <v>-290358.1700000001</v>
      </c>
      <c r="Q49" s="76">
        <f>[41]nccomp!$C$25</f>
        <v>-1218920.241810611</v>
      </c>
      <c r="R49" s="76">
        <f>[41]nccomp!$C$23</f>
        <v>2378.2400000000926</v>
      </c>
      <c r="S49" s="78">
        <f t="shared" si="4"/>
        <v>-1506900.1718106112</v>
      </c>
    </row>
    <row r="50" spans="3:19" x14ac:dyDescent="0.25">
      <c r="C50" s="75">
        <v>42429</v>
      </c>
      <c r="D50" s="76">
        <f>[42]nccomp!$C$14</f>
        <v>174077341.38</v>
      </c>
      <c r="E50" s="77">
        <f>[42]nccomp!$C$16</f>
        <v>0</v>
      </c>
      <c r="F50" s="77">
        <f>[42]nccomp!$C$17</f>
        <v>3143278.46</v>
      </c>
      <c r="G50" s="78">
        <f t="shared" si="0"/>
        <v>3143278.46</v>
      </c>
      <c r="H50" s="78">
        <f t="shared" si="1"/>
        <v>177220619.84</v>
      </c>
      <c r="I50" s="76">
        <v>73003270.458251819</v>
      </c>
      <c r="J50" s="78">
        <f t="shared" si="2"/>
        <v>104217349.38174818</v>
      </c>
      <c r="K50" s="76">
        <v>4950000</v>
      </c>
      <c r="L50" s="78">
        <f t="shared" si="6"/>
        <v>77953270.458251819</v>
      </c>
      <c r="M50" s="78">
        <f t="shared" si="3"/>
        <v>99267349.381748185</v>
      </c>
      <c r="P50" s="76">
        <f>[42]nccomp!$C$36</f>
        <v>-296972.67</v>
      </c>
      <c r="Q50" s="76">
        <f>[42]nccomp!$C$25</f>
        <v>-3196590.5451000002</v>
      </c>
      <c r="R50" s="76">
        <f>[42]nccomp!$C$23</f>
        <v>-328482.59999999998</v>
      </c>
      <c r="S50" s="78">
        <f t="shared" si="4"/>
        <v>-3822045.8151000002</v>
      </c>
    </row>
    <row r="51" spans="3:19" x14ac:dyDescent="0.25">
      <c r="C51" s="75">
        <v>42430</v>
      </c>
      <c r="D51" s="76">
        <f>[43]nccomp!$C$14</f>
        <v>170782552.315</v>
      </c>
      <c r="E51" s="77">
        <f>[43]nccomp!$C$16</f>
        <v>0</v>
      </c>
      <c r="F51" s="77">
        <f>[43]nccomp!$C$17</f>
        <v>3143278.46</v>
      </c>
      <c r="G51" s="78">
        <f t="shared" si="0"/>
        <v>3143278.46</v>
      </c>
      <c r="H51" s="78">
        <f t="shared" si="1"/>
        <v>173925830.77500001</v>
      </c>
      <c r="I51" s="76">
        <v>72111829.235984772</v>
      </c>
      <c r="J51" s="78">
        <f t="shared" si="2"/>
        <v>101814001.53901523</v>
      </c>
      <c r="K51" s="76">
        <v>21000000</v>
      </c>
      <c r="L51" s="78">
        <f t="shared" si="6"/>
        <v>93111829.235984772</v>
      </c>
      <c r="M51" s="78">
        <f t="shared" si="3"/>
        <v>80814001.539015234</v>
      </c>
      <c r="P51" s="76">
        <f>[43]nccomp!$C$36</f>
        <v>-277385.73000000004</v>
      </c>
      <c r="Q51" s="76">
        <f>[43]nccomp!$C$25</f>
        <v>-269941.70500000002</v>
      </c>
      <c r="R51" s="76">
        <f>[43]nccomp!$C$23</f>
        <v>-348521.12999999989</v>
      </c>
      <c r="S51" s="78">
        <f t="shared" si="4"/>
        <v>-895848.56499999994</v>
      </c>
    </row>
    <row r="52" spans="3:19" x14ac:dyDescent="0.25">
      <c r="C52" s="75">
        <v>42431</v>
      </c>
      <c r="D52" s="76">
        <f>[44]nccomp!$C$14</f>
        <v>169867682.63</v>
      </c>
      <c r="E52" s="77">
        <f>[44]nccomp!$C$16</f>
        <v>0</v>
      </c>
      <c r="F52" s="77">
        <f>[44]nccomp!$C$17</f>
        <v>3143278.46</v>
      </c>
      <c r="G52" s="78">
        <f t="shared" si="0"/>
        <v>3143278.46</v>
      </c>
      <c r="H52" s="78">
        <f t="shared" si="1"/>
        <v>173010961.09</v>
      </c>
      <c r="I52" s="76">
        <v>66855428.774588473</v>
      </c>
      <c r="J52" s="78">
        <f t="shared" si="2"/>
        <v>106155532.31541154</v>
      </c>
      <c r="K52" s="76"/>
      <c r="L52" s="78">
        <f t="shared" si="6"/>
        <v>66855428.774588473</v>
      </c>
      <c r="M52" s="78">
        <f t="shared" si="3"/>
        <v>106155532.31541154</v>
      </c>
      <c r="P52" s="76">
        <f>[44]nccomp!$C$36</f>
        <v>-325964.05999999982</v>
      </c>
      <c r="Q52" s="76">
        <f>[44]nccomp!$C$25</f>
        <v>-378839.5088409126</v>
      </c>
      <c r="R52" s="76">
        <f>[44]nccomp!$C$23</f>
        <v>-1385728.005978087</v>
      </c>
      <c r="S52" s="78">
        <f t="shared" si="4"/>
        <v>-2090531.5748189995</v>
      </c>
    </row>
    <row r="53" spans="3:19" x14ac:dyDescent="0.25">
      <c r="C53" s="75">
        <v>42432</v>
      </c>
      <c r="D53" s="76">
        <f>[45]nccomp!$C$14</f>
        <v>168952812.94499999</v>
      </c>
      <c r="E53" s="77">
        <f>[45]nccomp!$C$16</f>
        <v>0</v>
      </c>
      <c r="F53" s="77">
        <f>[45]nccomp!$C$17</f>
        <v>3143278.46</v>
      </c>
      <c r="G53" s="78">
        <f t="shared" si="0"/>
        <v>3143278.46</v>
      </c>
      <c r="H53" s="78">
        <f t="shared" si="1"/>
        <v>172096091.405</v>
      </c>
      <c r="I53" s="76">
        <v>70149916.988346487</v>
      </c>
      <c r="J53" s="78">
        <f t="shared" si="2"/>
        <v>101946174.41665351</v>
      </c>
      <c r="K53" s="76"/>
      <c r="L53" s="78">
        <f t="shared" si="6"/>
        <v>70149916.988346487</v>
      </c>
      <c r="M53" s="78">
        <f t="shared" si="3"/>
        <v>101946174.41665351</v>
      </c>
      <c r="P53" s="76">
        <f>[45]nccomp!$C$36</f>
        <v>-291988.50000000058</v>
      </c>
      <c r="Q53" s="76">
        <f>[45]nccomp!$C$25</f>
        <v>-404658.80475951929</v>
      </c>
      <c r="R53" s="76">
        <f>[45]nccomp!$C$23</f>
        <v>-1462923.2423116858</v>
      </c>
      <c r="S53" s="78">
        <f t="shared" si="4"/>
        <v>-2159570.5470712055</v>
      </c>
    </row>
    <row r="54" spans="3:19" x14ac:dyDescent="0.25">
      <c r="C54" s="75">
        <v>42433</v>
      </c>
      <c r="D54" s="76">
        <f>[46]nccomp!$C$14</f>
        <v>169962899.25999999</v>
      </c>
      <c r="E54" s="77">
        <f>[46]nccomp!$C$16</f>
        <v>0</v>
      </c>
      <c r="F54" s="77">
        <f>[46]nccomp!$C$17</f>
        <v>3143278.46</v>
      </c>
      <c r="G54" s="78">
        <f t="shared" si="0"/>
        <v>3143278.46</v>
      </c>
      <c r="H54" s="78">
        <f t="shared" si="1"/>
        <v>173106177.72</v>
      </c>
      <c r="I54" s="76">
        <v>72186937.303747267</v>
      </c>
      <c r="J54" s="78">
        <f t="shared" si="2"/>
        <v>100919240.41625273</v>
      </c>
      <c r="K54" s="76"/>
      <c r="L54" s="78">
        <f t="shared" si="6"/>
        <v>72186937.303747267</v>
      </c>
      <c r="M54" s="78">
        <f t="shared" si="3"/>
        <v>100919240.41625273</v>
      </c>
      <c r="P54" s="76">
        <f>[46]nccomp!$C$36</f>
        <v>-383137.20000000036</v>
      </c>
      <c r="Q54" s="76">
        <f>[46]nccomp!$C$25</f>
        <v>-965158.09064999933</v>
      </c>
      <c r="R54" s="76">
        <f>[46]nccomp!$C$23</f>
        <v>-1904007.8920000005</v>
      </c>
      <c r="S54" s="78">
        <f t="shared" si="4"/>
        <v>-3252303.1826499999</v>
      </c>
    </row>
    <row r="55" spans="3:19" x14ac:dyDescent="0.25">
      <c r="C55" s="75">
        <v>42436</v>
      </c>
      <c r="D55" s="76">
        <f>[47]nccomp!$C$14</f>
        <v>170725017.07499999</v>
      </c>
      <c r="E55" s="77">
        <f>[47]nccomp!$C$16</f>
        <v>0</v>
      </c>
      <c r="F55" s="77">
        <f>[47]nccomp!$C$17</f>
        <v>3143278.46</v>
      </c>
      <c r="G55" s="78">
        <f t="shared" si="0"/>
        <v>3143278.46</v>
      </c>
      <c r="H55" s="78">
        <f t="shared" si="1"/>
        <v>173868295.535</v>
      </c>
      <c r="I55" s="76">
        <v>68681319.395982102</v>
      </c>
      <c r="J55" s="78">
        <f t="shared" si="2"/>
        <v>105186976.13901789</v>
      </c>
      <c r="K55" s="76">
        <v>62250000</v>
      </c>
      <c r="L55" s="78">
        <f t="shared" si="6"/>
        <v>130931319.3959821</v>
      </c>
      <c r="M55" s="78">
        <f t="shared" si="3"/>
        <v>42936976.139017895</v>
      </c>
      <c r="P55" s="76">
        <f>[47]nccomp!$C$36</f>
        <v>-455895.70000000094</v>
      </c>
      <c r="Q55" s="76">
        <f>[47]nccomp!$C$25</f>
        <v>-359601.77480000013</v>
      </c>
      <c r="R55" s="76">
        <f>[47]nccomp!$C$23</f>
        <v>-3393645.38</v>
      </c>
      <c r="S55" s="78">
        <f t="shared" si="4"/>
        <v>-4209142.8548000008</v>
      </c>
    </row>
    <row r="56" spans="3:19" x14ac:dyDescent="0.25">
      <c r="C56" s="75">
        <v>42437</v>
      </c>
      <c r="D56" s="76">
        <f>[48]nccomp!$C$14</f>
        <v>169810147.39000002</v>
      </c>
      <c r="E56" s="77">
        <f>[48]nccomp!$C$16</f>
        <v>0</v>
      </c>
      <c r="F56" s="77">
        <f>[48]nccomp!$C$17</f>
        <v>3143278.46</v>
      </c>
      <c r="G56" s="78">
        <f t="shared" si="0"/>
        <v>3143278.46</v>
      </c>
      <c r="H56" s="78">
        <f t="shared" si="1"/>
        <v>172953425.85000002</v>
      </c>
      <c r="I56" s="76">
        <v>66986954.635847025</v>
      </c>
      <c r="J56" s="78">
        <f t="shared" si="2"/>
        <v>105966471.21415299</v>
      </c>
      <c r="K56" s="76">
        <v>6000000</v>
      </c>
      <c r="L56" s="78">
        <f t="shared" si="6"/>
        <v>72986954.635847032</v>
      </c>
      <c r="M56" s="78">
        <f t="shared" si="3"/>
        <v>99966471.214152992</v>
      </c>
      <c r="P56" s="76">
        <f>[48]nccomp!$C$36</f>
        <v>-291771.90999999997</v>
      </c>
      <c r="Q56" s="76">
        <f>[48]nccomp!$C$25</f>
        <v>-1924348.1199999999</v>
      </c>
      <c r="R56" s="76">
        <f>[48]nccomp!$C$23</f>
        <v>-2946629.4599999995</v>
      </c>
      <c r="S56" s="78">
        <f t="shared" si="4"/>
        <v>-5162749.4899999993</v>
      </c>
    </row>
    <row r="57" spans="3:19" x14ac:dyDescent="0.25">
      <c r="C57" s="75">
        <v>42438</v>
      </c>
      <c r="D57" s="76">
        <f>[49]nccomp!$C$14</f>
        <v>169260552.70500001</v>
      </c>
      <c r="E57" s="77">
        <f>[49]nccomp!$C$16</f>
        <v>0</v>
      </c>
      <c r="F57" s="77">
        <f>[49]nccomp!$C$17</f>
        <v>3143278.46</v>
      </c>
      <c r="G57" s="78">
        <f t="shared" si="0"/>
        <v>3143278.46</v>
      </c>
      <c r="H57" s="78">
        <f t="shared" si="1"/>
        <v>172403831.16500002</v>
      </c>
      <c r="I57" s="76">
        <v>66465726.6553974</v>
      </c>
      <c r="J57" s="78">
        <f t="shared" si="2"/>
        <v>105938104.50960262</v>
      </c>
      <c r="K57" s="76">
        <v>49999800</v>
      </c>
      <c r="L57" s="78">
        <f t="shared" si="6"/>
        <v>116465526.6553974</v>
      </c>
      <c r="M57" s="78">
        <f t="shared" si="3"/>
        <v>55938304.509602621</v>
      </c>
      <c r="P57" s="76">
        <f>[49]nccomp!$C$36</f>
        <v>-804397.68000000075</v>
      </c>
      <c r="Q57" s="76">
        <f>[49]nccomp!$C$25</f>
        <v>-2047412.3000000003</v>
      </c>
      <c r="R57" s="76">
        <f>[49]nccomp!$C$23</f>
        <v>-2913237.24</v>
      </c>
      <c r="S57" s="78">
        <f t="shared" si="4"/>
        <v>-5765047.2200000007</v>
      </c>
    </row>
    <row r="58" spans="3:19" x14ac:dyDescent="0.25">
      <c r="C58" s="75">
        <v>42439</v>
      </c>
      <c r="D58" s="76">
        <f>[50]nccomp!$C$14</f>
        <v>168345683.02000001</v>
      </c>
      <c r="E58" s="77">
        <f>[50]nccomp!$C$16</f>
        <v>0</v>
      </c>
      <c r="F58" s="77">
        <f>[50]nccomp!$C$17</f>
        <v>3143278.46</v>
      </c>
      <c r="G58" s="78">
        <f t="shared" si="0"/>
        <v>3143278.46</v>
      </c>
      <c r="H58" s="78">
        <f t="shared" si="1"/>
        <v>171488961.48000002</v>
      </c>
      <c r="I58" s="76">
        <f>4592411+1950718+2847542+389886+311142+673533+34718942+1559043+4400178+3631311+11764026</f>
        <v>66838732</v>
      </c>
      <c r="J58" s="78">
        <f t="shared" si="2"/>
        <v>104650229.48000002</v>
      </c>
      <c r="K58" s="76"/>
      <c r="L58" s="78">
        <f t="shared" si="6"/>
        <v>66838732</v>
      </c>
      <c r="M58" s="78">
        <f t="shared" si="3"/>
        <v>104650229.48000002</v>
      </c>
      <c r="P58" s="76">
        <f>[50]nccomp!$C$36</f>
        <v>-720347.46000000008</v>
      </c>
      <c r="Q58" s="76">
        <f>[50]nccomp!$C$25</f>
        <v>-1559042.878630056</v>
      </c>
      <c r="R58" s="76">
        <f>[50]nccomp!$C$23</f>
        <v>-2910027.2899999996</v>
      </c>
      <c r="S58" s="78">
        <f t="shared" si="4"/>
        <v>-5189417.6286300551</v>
      </c>
    </row>
    <row r="59" spans="3:19" x14ac:dyDescent="0.25">
      <c r="C59" s="75">
        <v>42440</v>
      </c>
      <c r="D59" s="76">
        <f>[51]nccomp!$C$14</f>
        <v>168745768.83500001</v>
      </c>
      <c r="E59" s="77">
        <f>[51]nccomp!$C$16</f>
        <v>0</v>
      </c>
      <c r="F59" s="77">
        <f>[51]nccomp!$C$17</f>
        <v>3143278.46</v>
      </c>
      <c r="G59" s="78">
        <f t="shared" si="0"/>
        <v>3143278.46</v>
      </c>
      <c r="H59" s="78">
        <f t="shared" si="1"/>
        <v>171889047.29500002</v>
      </c>
      <c r="I59" s="76">
        <f>41355605+2349216+4759384+3739892+11669869</f>
        <v>63873966</v>
      </c>
      <c r="J59" s="78">
        <f t="shared" si="2"/>
        <v>108015081.29500002</v>
      </c>
      <c r="K59" s="76"/>
      <c r="L59" s="78">
        <f t="shared" si="6"/>
        <v>63873966</v>
      </c>
      <c r="M59" s="78">
        <f t="shared" si="3"/>
        <v>108015081.29500002</v>
      </c>
      <c r="P59" s="76">
        <f>[51]nccomp!$C$36</f>
        <v>-693176.24</v>
      </c>
      <c r="Q59" s="76">
        <f>[51]nccomp!$C$25</f>
        <v>-2349215.5209378726</v>
      </c>
      <c r="R59" s="76">
        <f>[51]nccomp!$C$23</f>
        <v>-3169002.2253682092</v>
      </c>
      <c r="S59" s="78">
        <f t="shared" si="4"/>
        <v>-6211393.9863060815</v>
      </c>
    </row>
    <row r="60" spans="3:19" x14ac:dyDescent="0.25">
      <c r="C60" s="75">
        <v>42443</v>
      </c>
      <c r="D60" s="76">
        <f>[52]nccomp!$C$14</f>
        <v>167830899.15000001</v>
      </c>
      <c r="E60" s="77">
        <f>[52]nccomp!$C$16</f>
        <v>0</v>
      </c>
      <c r="F60" s="77">
        <f>[52]nccomp!$C$17</f>
        <v>3143278.46</v>
      </c>
      <c r="G60" s="78">
        <f t="shared" si="0"/>
        <v>3143278.46</v>
      </c>
      <c r="H60" s="78">
        <f t="shared" si="1"/>
        <v>170974177.61000001</v>
      </c>
      <c r="I60" s="76">
        <f>44524469+2866193+4425779+3740285+11807708</f>
        <v>67364434</v>
      </c>
      <c r="J60" s="78">
        <f t="shared" si="2"/>
        <v>103609743.61000001</v>
      </c>
      <c r="K60" s="76">
        <v>1968750</v>
      </c>
      <c r="L60" s="78">
        <f t="shared" si="6"/>
        <v>69333184</v>
      </c>
      <c r="M60" s="78">
        <f t="shared" si="3"/>
        <v>101640993.61000001</v>
      </c>
      <c r="P60" s="76">
        <f>[52]nccomp!$C$36</f>
        <v>-679777.17999999993</v>
      </c>
      <c r="Q60" s="76">
        <f>[52]nccomp!$C$25</f>
        <v>-2866192.6288024504</v>
      </c>
      <c r="R60" s="76">
        <f>[52]nccomp!$C$23</f>
        <v>-2459920.4970407668</v>
      </c>
      <c r="S60" s="78">
        <f t="shared" si="4"/>
        <v>-6005890.3058432173</v>
      </c>
    </row>
    <row r="61" spans="3:19" x14ac:dyDescent="0.25">
      <c r="C61" s="75">
        <v>42444</v>
      </c>
      <c r="D61" s="76">
        <f>[53]nccomp!$C$14</f>
        <v>166916029.465</v>
      </c>
      <c r="E61" s="77">
        <f>[53]nccomp!$C$16</f>
        <v>0</v>
      </c>
      <c r="F61" s="77">
        <f>[53]nccomp!$C$17</f>
        <v>3143278.46</v>
      </c>
      <c r="G61" s="78">
        <f t="shared" si="0"/>
        <v>3143278.46</v>
      </c>
      <c r="H61" s="78">
        <f t="shared" si="1"/>
        <v>170059307.92500001</v>
      </c>
      <c r="I61" s="76">
        <f>44256688+1998148+3509863+3958806+12360285</f>
        <v>66083790</v>
      </c>
      <c r="J61" s="78">
        <f t="shared" si="2"/>
        <v>103975517.92500001</v>
      </c>
      <c r="K61" s="76"/>
      <c r="L61" s="78">
        <f t="shared" si="6"/>
        <v>66083790</v>
      </c>
      <c r="M61" s="78">
        <f t="shared" si="3"/>
        <v>103975517.92500001</v>
      </c>
      <c r="P61" s="76">
        <f>[53]nccomp!$C$36</f>
        <v>-80804.639999999708</v>
      </c>
      <c r="Q61" s="76">
        <f>[53]nccomp!$C$25</f>
        <v>-1998148.3001278571</v>
      </c>
      <c r="R61" s="76">
        <f>[53]nccomp!$C$23</f>
        <v>-2228623.9513715846</v>
      </c>
      <c r="S61" s="78">
        <f t="shared" si="4"/>
        <v>-4307576.8914994411</v>
      </c>
    </row>
    <row r="62" spans="3:19" x14ac:dyDescent="0.25">
      <c r="C62" s="75">
        <v>42445</v>
      </c>
      <c r="D62" s="76">
        <f>[54]nccomp!$C$14</f>
        <v>166001159.78</v>
      </c>
      <c r="E62" s="77">
        <f>[54]nccomp!$C$16</f>
        <v>0</v>
      </c>
      <c r="F62" s="77">
        <f>[54]nccomp!$C$17</f>
        <v>3143278.46</v>
      </c>
      <c r="G62" s="78">
        <f t="shared" si="0"/>
        <v>3143278.46</v>
      </c>
      <c r="H62" s="78">
        <f t="shared" si="1"/>
        <v>169144438.24000001</v>
      </c>
      <c r="I62" s="76">
        <f>38725556+2195055+1224177+4147343+12572329</f>
        <v>58864460</v>
      </c>
      <c r="J62" s="78">
        <f t="shared" si="2"/>
        <v>110279978.24000001</v>
      </c>
      <c r="K62" s="76"/>
      <c r="L62" s="78">
        <f t="shared" si="6"/>
        <v>58864460</v>
      </c>
      <c r="M62" s="78">
        <f t="shared" si="3"/>
        <v>110279978.24000001</v>
      </c>
      <c r="P62" s="76">
        <f>[54]nccomp!$C$36</f>
        <v>-50931.70000000023</v>
      </c>
      <c r="Q62" s="76">
        <f>[54]nccomp!$C$25</f>
        <v>-2195054.6225572857</v>
      </c>
      <c r="R62" s="76">
        <f>[54]nccomp!$C$23</f>
        <v>-173438.45123811474</v>
      </c>
      <c r="S62" s="78">
        <f t="shared" si="4"/>
        <v>-2419424.7737954007</v>
      </c>
    </row>
    <row r="63" spans="3:19" x14ac:dyDescent="0.25">
      <c r="C63" s="75">
        <v>42446</v>
      </c>
      <c r="D63" s="76">
        <f>[55]nccomp!$C$14</f>
        <v>165086290.095</v>
      </c>
      <c r="E63" s="77">
        <f>[55]nccomp!$C$16</f>
        <v>0</v>
      </c>
      <c r="F63" s="77">
        <f>[55]nccomp!$C$17</f>
        <v>3143278.46</v>
      </c>
      <c r="G63" s="78">
        <f t="shared" si="0"/>
        <v>3143278.46</v>
      </c>
      <c r="H63" s="78">
        <f t="shared" si="1"/>
        <v>168229568.55500001</v>
      </c>
      <c r="I63" s="76">
        <f>46287055+2688849+1114396+4147343+12525508</f>
        <v>66763151</v>
      </c>
      <c r="J63" s="78">
        <f t="shared" si="2"/>
        <v>101466417.55500001</v>
      </c>
      <c r="K63" s="76">
        <v>4275000</v>
      </c>
      <c r="L63" s="78">
        <f t="shared" si="6"/>
        <v>71038151</v>
      </c>
      <c r="M63" s="78">
        <f t="shared" si="3"/>
        <v>97191417.555000007</v>
      </c>
      <c r="P63" s="76">
        <f>[55]nccomp!$C$36</f>
        <v>-93827.499999999578</v>
      </c>
      <c r="Q63" s="76">
        <f>[55]nccomp!$C$25</f>
        <v>-2688849.3433141224</v>
      </c>
      <c r="R63" s="76">
        <f>[55]nccomp!$C$23</f>
        <v>-194155.0724883881</v>
      </c>
      <c r="S63" s="78">
        <f t="shared" si="4"/>
        <v>-2976831.91580251</v>
      </c>
    </row>
    <row r="64" spans="3:19" x14ac:dyDescent="0.25">
      <c r="C64" s="75">
        <v>42447</v>
      </c>
      <c r="D64" s="76">
        <f>[56]nccomp!$C$14</f>
        <v>164171420.41</v>
      </c>
      <c r="E64" s="77">
        <f>[56]nccomp!$C$16</f>
        <v>0</v>
      </c>
      <c r="F64" s="77">
        <f>[56]nccomp!$C$17</f>
        <v>3143278.46</v>
      </c>
      <c r="G64" s="78">
        <f t="shared" si="0"/>
        <v>3143278.46</v>
      </c>
      <c r="H64" s="78">
        <f t="shared" si="1"/>
        <v>167314698.87</v>
      </c>
      <c r="I64" s="76">
        <v>61632173.613879606</v>
      </c>
      <c r="J64" s="78">
        <f t="shared" si="2"/>
        <v>105682525.2561204</v>
      </c>
      <c r="K64" s="76"/>
      <c r="L64" s="78">
        <f t="shared" si="6"/>
        <v>61632173.613879606</v>
      </c>
      <c r="M64" s="78">
        <f t="shared" si="3"/>
        <v>105682525.2561204</v>
      </c>
      <c r="P64" s="76">
        <f>[56]nccomp!$C$36</f>
        <v>-154998.97000000026</v>
      </c>
      <c r="Q64" s="76">
        <f>[56]nccomp!$C$25</f>
        <v>-1776887.9385095129</v>
      </c>
      <c r="R64" s="76">
        <f>[56]nccomp!$C$23</f>
        <v>-316467.08999999956</v>
      </c>
      <c r="S64" s="78">
        <f t="shared" si="4"/>
        <v>-2248353.9985095127</v>
      </c>
    </row>
    <row r="65" spans="3:19" x14ac:dyDescent="0.25">
      <c r="C65" s="75">
        <v>42450</v>
      </c>
      <c r="D65" s="76">
        <f>[57]nccomp!$C$14</f>
        <v>163256550.72499999</v>
      </c>
      <c r="E65" s="77">
        <f>[57]nccomp!$C$16</f>
        <v>0</v>
      </c>
      <c r="F65" s="77">
        <f>[57]nccomp!$C$17</f>
        <v>3143278.46</v>
      </c>
      <c r="G65" s="78">
        <f t="shared" si="0"/>
        <v>3143278.46</v>
      </c>
      <c r="H65" s="78">
        <f t="shared" si="1"/>
        <v>166399829.185</v>
      </c>
      <c r="I65" s="76">
        <v>61853022.128801554</v>
      </c>
      <c r="J65" s="78">
        <f t="shared" si="2"/>
        <v>104546807.05619845</v>
      </c>
      <c r="K65" s="76"/>
      <c r="L65" s="78">
        <f t="shared" si="6"/>
        <v>61853022.128801554</v>
      </c>
      <c r="M65" s="78">
        <f t="shared" si="3"/>
        <v>104546807.05619845</v>
      </c>
      <c r="P65" s="76">
        <f>[57]nccomp!$C$36</f>
        <v>-160879.6399999999</v>
      </c>
      <c r="Q65" s="76">
        <f>[57]nccomp!$C$25</f>
        <v>-1106335.6865747382</v>
      </c>
      <c r="R65" s="76">
        <f>[57]nccomp!$C$23</f>
        <v>-252068.55999999942</v>
      </c>
      <c r="S65" s="78">
        <f t="shared" si="4"/>
        <v>-1519283.8865747375</v>
      </c>
    </row>
    <row r="66" spans="3:19" x14ac:dyDescent="0.25">
      <c r="C66" s="75">
        <v>42451</v>
      </c>
      <c r="D66" s="76">
        <f>[58]nccomp!$C$14</f>
        <v>162341681.03999999</v>
      </c>
      <c r="E66" s="77">
        <f>[58]nccomp!$C$16</f>
        <v>0</v>
      </c>
      <c r="F66" s="77">
        <f>[58]nccomp!$C$17</f>
        <v>3143278.46</v>
      </c>
      <c r="G66" s="78">
        <f t="shared" si="0"/>
        <v>3143278.46</v>
      </c>
      <c r="H66" s="78">
        <f t="shared" si="1"/>
        <v>165484959.5</v>
      </c>
      <c r="I66" s="76">
        <v>64490031.998863682</v>
      </c>
      <c r="J66" s="78">
        <f t="shared" si="2"/>
        <v>100994927.50113632</v>
      </c>
      <c r="K66" s="76">
        <v>7897500</v>
      </c>
      <c r="L66" s="78">
        <f t="shared" si="6"/>
        <v>72387531.998863682</v>
      </c>
      <c r="M66" s="78">
        <f t="shared" si="3"/>
        <v>93097427.501136318</v>
      </c>
      <c r="P66" s="76">
        <f>[58]nccomp!$C$36</f>
        <v>-117069.82999999958</v>
      </c>
      <c r="Q66" s="76">
        <f>[58]nccomp!$C$25</f>
        <v>-1115174.3050000004</v>
      </c>
      <c r="R66" s="76">
        <f>[58]nccomp!$C$23</f>
        <v>-287052.75999999919</v>
      </c>
      <c r="S66" s="78">
        <f t="shared" si="4"/>
        <v>-1519296.8949999991</v>
      </c>
    </row>
    <row r="67" spans="3:19" x14ac:dyDescent="0.25">
      <c r="C67" s="75">
        <v>42452</v>
      </c>
      <c r="D67" s="76">
        <f>[59]nccomp!$C$14</f>
        <v>161646558.35499999</v>
      </c>
      <c r="E67" s="77">
        <f>[59]nccomp!$C$16</f>
        <v>0</v>
      </c>
      <c r="F67" s="77">
        <f>[59]nccomp!$C$17</f>
        <v>3143278.46</v>
      </c>
      <c r="G67" s="78">
        <f t="shared" si="0"/>
        <v>3143278.46</v>
      </c>
      <c r="H67" s="78">
        <f t="shared" si="1"/>
        <v>164789836.815</v>
      </c>
      <c r="I67" s="76">
        <v>64466665.571066499</v>
      </c>
      <c r="J67" s="78">
        <f t="shared" si="2"/>
        <v>100323171.2439335</v>
      </c>
      <c r="K67" s="76"/>
      <c r="L67" s="78">
        <f t="shared" si="6"/>
        <v>64466665.571066499</v>
      </c>
      <c r="M67" s="78">
        <f t="shared" si="3"/>
        <v>100323171.2439335</v>
      </c>
      <c r="P67" s="76">
        <f>[59]nccomp!$C$36</f>
        <v>-200505.99999999936</v>
      </c>
      <c r="Q67" s="76">
        <f>[59]nccomp!$C$25</f>
        <v>-1299355.0198834762</v>
      </c>
      <c r="R67" s="76">
        <f>[59]nccomp!$C$23</f>
        <v>-130766.31000000007</v>
      </c>
      <c r="S67" s="78">
        <f t="shared" si="4"/>
        <v>-1630627.3298834756</v>
      </c>
    </row>
    <row r="68" spans="3:19" x14ac:dyDescent="0.25">
      <c r="C68" s="75">
        <v>42453</v>
      </c>
      <c r="D68" s="76">
        <f>[60]nccomp!$C$14</f>
        <v>159951026.66999999</v>
      </c>
      <c r="E68" s="77">
        <f>[60]nccomp!$C$16</f>
        <v>0</v>
      </c>
      <c r="F68" s="77">
        <f>[60]nccomp!$C$17</f>
        <v>3143278.46</v>
      </c>
      <c r="G68" s="78">
        <f t="shared" si="0"/>
        <v>3143278.46</v>
      </c>
      <c r="H68" s="78">
        <f t="shared" si="1"/>
        <v>163094305.13</v>
      </c>
      <c r="I68" s="76">
        <v>65291017.270131782</v>
      </c>
      <c r="J68" s="78">
        <f t="shared" si="2"/>
        <v>97803287.859868214</v>
      </c>
      <c r="K68" s="76"/>
      <c r="L68" s="78">
        <f t="shared" si="6"/>
        <v>65291017.270131782</v>
      </c>
      <c r="M68" s="78">
        <f t="shared" si="3"/>
        <v>97803287.859868214</v>
      </c>
      <c r="P68" s="76">
        <f>[60]nccomp!$C$36</f>
        <v>-156451.2800000002</v>
      </c>
      <c r="Q68" s="76">
        <f>[60]nccomp!$C$25</f>
        <v>-2857871.6824597423</v>
      </c>
      <c r="R68" s="76">
        <f>[60]nccomp!$C$23</f>
        <v>-143872.95000000019</v>
      </c>
      <c r="S68" s="78">
        <f t="shared" si="4"/>
        <v>-3158195.9124597427</v>
      </c>
    </row>
    <row r="69" spans="3:19" x14ac:dyDescent="0.25">
      <c r="C69" s="75">
        <v>42457</v>
      </c>
      <c r="D69" s="76">
        <f>[61]nccomp!$C$14</f>
        <v>159036156.98500001</v>
      </c>
      <c r="E69" s="77">
        <f>[61]nccomp!$C$16</f>
        <v>0</v>
      </c>
      <c r="F69" s="77">
        <f>[61]nccomp!$C$17</f>
        <v>3143278.46</v>
      </c>
      <c r="G69" s="78">
        <f t="shared" si="0"/>
        <v>3143278.46</v>
      </c>
      <c r="H69" s="78">
        <f t="shared" si="1"/>
        <v>162179435.44500002</v>
      </c>
      <c r="I69" s="76">
        <v>67980075.921881646</v>
      </c>
      <c r="J69" s="78">
        <f t="shared" si="2"/>
        <v>94199359.523118377</v>
      </c>
      <c r="K69" s="76"/>
      <c r="L69" s="78">
        <f t="shared" si="6"/>
        <v>67980075.921881646</v>
      </c>
      <c r="M69" s="78">
        <f t="shared" si="3"/>
        <v>94199359.523118377</v>
      </c>
      <c r="P69" s="76">
        <f>[61]nccomp!$C$36</f>
        <v>-236618.32996648946</v>
      </c>
      <c r="Q69" s="76">
        <f>[61]nccomp!$C$25</f>
        <v>-2572787.6424233033</v>
      </c>
      <c r="R69" s="76">
        <f>[61]nccomp!$C$23</f>
        <v>-3342569.4899999993</v>
      </c>
      <c r="S69" s="78">
        <f t="shared" si="4"/>
        <v>-6151975.4623897923</v>
      </c>
    </row>
    <row r="70" spans="3:19" x14ac:dyDescent="0.25">
      <c r="C70" s="75">
        <v>42458</v>
      </c>
      <c r="D70" s="76">
        <f>[62]nccomp!$C$14</f>
        <v>157955511.30000001</v>
      </c>
      <c r="E70" s="77">
        <f>[62]nccomp!$C$16</f>
        <v>0</v>
      </c>
      <c r="F70" s="77">
        <f>[62]nccomp!$C$17</f>
        <v>4714917.46</v>
      </c>
      <c r="G70" s="78">
        <f t="shared" si="0"/>
        <v>4714917.46</v>
      </c>
      <c r="H70" s="78">
        <f t="shared" si="1"/>
        <v>162670428.76000002</v>
      </c>
      <c r="I70" s="76">
        <v>67874978.1791756</v>
      </c>
      <c r="J70" s="78">
        <f t="shared" si="2"/>
        <v>94795450.58082442</v>
      </c>
      <c r="K70" s="76"/>
      <c r="L70" s="78">
        <f t="shared" si="6"/>
        <v>67874978.1791756</v>
      </c>
      <c r="M70" s="78">
        <f t="shared" si="3"/>
        <v>94795450.58082442</v>
      </c>
      <c r="P70" s="76">
        <f>[62]nccomp!$C$36</f>
        <v>-478762.722881753</v>
      </c>
      <c r="Q70" s="76">
        <f>[62]nccomp!$C$25</f>
        <v>-2157919.6117008193</v>
      </c>
      <c r="R70" s="76">
        <f>[62]nccomp!$C$23</f>
        <v>-44830.339999999793</v>
      </c>
      <c r="S70" s="78">
        <f t="shared" si="4"/>
        <v>-2681512.6745825722</v>
      </c>
    </row>
    <row r="71" spans="3:19" x14ac:dyDescent="0.25">
      <c r="C71" s="75">
        <v>42459</v>
      </c>
      <c r="D71" s="76">
        <f>[63]nccomp!$C$14</f>
        <v>156551391.61500001</v>
      </c>
      <c r="E71" s="77">
        <f>[63]nccomp!$C$16</f>
        <v>0</v>
      </c>
      <c r="F71" s="77">
        <f>[63]nccomp!$C$17</f>
        <v>4714917.46</v>
      </c>
      <c r="G71" s="78">
        <f t="shared" si="0"/>
        <v>4714917.46</v>
      </c>
      <c r="H71" s="78">
        <f t="shared" si="1"/>
        <v>161266309.07500002</v>
      </c>
      <c r="I71" s="76">
        <v>67639903.774605781</v>
      </c>
      <c r="J71" s="78">
        <f t="shared" si="2"/>
        <v>93626405.300394237</v>
      </c>
      <c r="K71" s="76">
        <v>5625000</v>
      </c>
      <c r="L71" s="78">
        <f t="shared" si="6"/>
        <v>73264903.774605781</v>
      </c>
      <c r="M71" s="78">
        <f t="shared" si="3"/>
        <v>88001405.300394237</v>
      </c>
      <c r="P71" s="76">
        <f>[63]nccomp!$C$36</f>
        <v>-551687.3419003298</v>
      </c>
      <c r="Q71" s="76">
        <f>[63]nccomp!$C$25</f>
        <v>-3784459.1099543357</v>
      </c>
      <c r="R71" s="76">
        <f>[63]nccomp!$C$23</f>
        <v>-80486.550000001211</v>
      </c>
      <c r="S71" s="78">
        <f t="shared" si="4"/>
        <v>-4416633.0018546674</v>
      </c>
    </row>
    <row r="72" spans="3:19" ht="16.5" customHeight="1" x14ac:dyDescent="0.25">
      <c r="C72" s="75">
        <v>42460</v>
      </c>
      <c r="D72" s="76">
        <f>[64]nccomp!$C$14</f>
        <v>166156576.965</v>
      </c>
      <c r="E72" s="77">
        <f>[64]nccomp!$C$16</f>
        <v>0</v>
      </c>
      <c r="F72" s="77">
        <f>[64]nccomp!$C$17</f>
        <v>4714917.46</v>
      </c>
      <c r="G72" s="78">
        <f t="shared" si="0"/>
        <v>4714917.46</v>
      </c>
      <c r="H72" s="78">
        <f t="shared" si="1"/>
        <v>170871494.42500001</v>
      </c>
      <c r="I72" s="76">
        <v>66799591.059345454</v>
      </c>
      <c r="J72" s="78">
        <f t="shared" si="2"/>
        <v>104071903.36565456</v>
      </c>
      <c r="K72" s="76"/>
      <c r="L72" s="78">
        <f t="shared" si="6"/>
        <v>66799591.059345454</v>
      </c>
      <c r="M72" s="78">
        <f t="shared" si="3"/>
        <v>104071903.36565456</v>
      </c>
      <c r="P72" s="76">
        <f>[64]nccomp!$C$36</f>
        <v>-404462.51280427579</v>
      </c>
      <c r="Q72" s="76">
        <f>[64]nccomp!$C$25</f>
        <v>-321261.61404396483</v>
      </c>
      <c r="R72" s="76">
        <f>[64]nccomp!$C$23</f>
        <v>77179.000000000815</v>
      </c>
      <c r="S72" s="78">
        <f t="shared" si="4"/>
        <v>-648545.1268482398</v>
      </c>
    </row>
    <row r="73" spans="3:19" ht="16.5" customHeight="1" x14ac:dyDescent="0.25">
      <c r="C73" s="75">
        <v>42461</v>
      </c>
      <c r="D73" s="76">
        <f>[65]nccomp!$C$14</f>
        <v>170401999.07301587</v>
      </c>
      <c r="E73" s="77">
        <f>[65]nccomp!$C$16</f>
        <v>0</v>
      </c>
      <c r="F73" s="77">
        <f>[65]nccomp!$C$17</f>
        <v>4714917.46</v>
      </c>
      <c r="G73" s="78">
        <f t="shared" si="0"/>
        <v>4714917.46</v>
      </c>
      <c r="H73" s="78">
        <f t="shared" si="1"/>
        <v>175116916.53301588</v>
      </c>
      <c r="I73" s="76">
        <v>68188918.756486207</v>
      </c>
      <c r="J73" s="78">
        <f t="shared" si="2"/>
        <v>106927997.77652967</v>
      </c>
      <c r="K73" s="76"/>
      <c r="L73" s="78">
        <f t="shared" si="6"/>
        <v>68188918.756486207</v>
      </c>
      <c r="M73" s="78">
        <f t="shared" si="3"/>
        <v>106927997.77652967</v>
      </c>
      <c r="P73" s="76">
        <f>[65]nccomp!$C$36</f>
        <v>-3019095.3600000003</v>
      </c>
      <c r="Q73" s="76">
        <f>[65]nccomp!$C$25</f>
        <v>-956328.96862004418</v>
      </c>
      <c r="R73" s="76">
        <f>[65]nccomp!$C$23</f>
        <v>-190780.36000000086</v>
      </c>
      <c r="S73" s="78">
        <f t="shared" si="4"/>
        <v>-4166204.6886200453</v>
      </c>
    </row>
    <row r="74" spans="3:19" ht="16.5" customHeight="1" x14ac:dyDescent="0.25">
      <c r="C74" s="75">
        <v>42464</v>
      </c>
      <c r="D74" s="76">
        <f>[66]nccomp!$C$14</f>
        <v>169996043.14603174</v>
      </c>
      <c r="E74" s="77">
        <f>[66]nccomp!$C$16</f>
        <v>0</v>
      </c>
      <c r="F74" s="77">
        <f>[66]nccomp!$C$17</f>
        <v>4714917.46</v>
      </c>
      <c r="G74" s="78">
        <f t="shared" si="0"/>
        <v>4714917.46</v>
      </c>
      <c r="H74" s="78">
        <f t="shared" si="1"/>
        <v>174710960.60603175</v>
      </c>
      <c r="I74" s="76">
        <v>67675917.958786607</v>
      </c>
      <c r="J74" s="78">
        <f t="shared" si="2"/>
        <v>107035042.64724514</v>
      </c>
      <c r="K74" s="76">
        <v>37500000</v>
      </c>
      <c r="L74" s="78">
        <f t="shared" si="6"/>
        <v>105175917.95878661</v>
      </c>
      <c r="M74" s="78">
        <f t="shared" si="3"/>
        <v>69535042.647245139</v>
      </c>
      <c r="P74" s="76">
        <f>[66]nccomp!$C$36</f>
        <v>-3097214.279159917</v>
      </c>
      <c r="Q74" s="76">
        <f>[66]nccomp!$C$25</f>
        <v>-48592.588312554086</v>
      </c>
      <c r="R74" s="76">
        <f>[66]nccomp!$C$23</f>
        <v>-161525.54000000059</v>
      </c>
      <c r="S74" s="78">
        <f t="shared" si="4"/>
        <v>-3307332.4074724717</v>
      </c>
    </row>
    <row r="75" spans="3:19" ht="16.5" customHeight="1" x14ac:dyDescent="0.25">
      <c r="C75" s="75">
        <v>42465</v>
      </c>
      <c r="D75" s="76">
        <f>[67]nccomp!$C$14</f>
        <v>172776267.71904761</v>
      </c>
      <c r="E75" s="77">
        <f>[67]nccomp!$C$16</f>
        <v>0</v>
      </c>
      <c r="F75" s="77">
        <f>[67]nccomp!$C$17</f>
        <v>4714917.46</v>
      </c>
      <c r="G75" s="78">
        <f t="shared" si="0"/>
        <v>4714917.46</v>
      </c>
      <c r="H75" s="78">
        <f t="shared" si="1"/>
        <v>177491185.17904761</v>
      </c>
      <c r="I75" s="76">
        <v>77876779.859910578</v>
      </c>
      <c r="J75" s="78">
        <f t="shared" si="2"/>
        <v>99614405.319137037</v>
      </c>
      <c r="K75" s="76"/>
      <c r="L75" s="78">
        <f t="shared" si="6"/>
        <v>77876779.859910578</v>
      </c>
      <c r="M75" s="78">
        <f t="shared" si="3"/>
        <v>99614405.319137037</v>
      </c>
      <c r="P75" s="76">
        <f>[67]nccomp!$C$36</f>
        <v>-3000662.3600000003</v>
      </c>
      <c r="Q75" s="76">
        <f>[67]nccomp!$C$25</f>
        <v>-220108.64631650271</v>
      </c>
      <c r="R75" s="76">
        <f>[67]nccomp!$C$23</f>
        <v>-207194.04999999903</v>
      </c>
      <c r="S75" s="78">
        <f t="shared" si="4"/>
        <v>-3427965.0563165019</v>
      </c>
    </row>
    <row r="76" spans="3:19" ht="16.5" customHeight="1" x14ac:dyDescent="0.25">
      <c r="C76" s="75">
        <v>42466</v>
      </c>
      <c r="D76" s="76">
        <f>[68]nccomp!$C$14</f>
        <v>172370311.7920635</v>
      </c>
      <c r="E76" s="77">
        <f>[68]nccomp!$C$16</f>
        <v>0</v>
      </c>
      <c r="F76" s="77">
        <f>[68]nccomp!$C$17</f>
        <v>4714917.46</v>
      </c>
      <c r="G76" s="78">
        <f t="shared" ref="G76:G85" si="7">E76+F76</f>
        <v>4714917.46</v>
      </c>
      <c r="H76" s="78">
        <f t="shared" ref="H76:H85" si="8">+D76+G76</f>
        <v>177085229.25206351</v>
      </c>
      <c r="I76" s="76">
        <v>73426040.186614215</v>
      </c>
      <c r="J76" s="78">
        <f t="shared" ref="J76:J85" si="9">D76+G76-I76</f>
        <v>103659189.0654493</v>
      </c>
      <c r="K76" s="76"/>
      <c r="L76" s="78">
        <f t="shared" si="6"/>
        <v>73426040.186614215</v>
      </c>
      <c r="M76" s="78">
        <f t="shared" ref="M76:M85" si="10">+J76-K76</f>
        <v>103659189.0654493</v>
      </c>
      <c r="P76" s="76">
        <f>[68]nccomp!$C$36</f>
        <v>-3030301.2299999995</v>
      </c>
      <c r="Q76" s="76">
        <f>[68]nccomp!$C$25</f>
        <v>-1358657.0321</v>
      </c>
      <c r="R76" s="76">
        <f>[68]nccomp!$C$23</f>
        <v>-119366.99999999972</v>
      </c>
      <c r="S76" s="78">
        <f t="shared" ref="S76:S85" si="11">+P76+Q76+R76</f>
        <v>-4508325.2620999999</v>
      </c>
    </row>
    <row r="77" spans="3:19" ht="16.5" customHeight="1" x14ac:dyDescent="0.25">
      <c r="C77" s="75">
        <v>42467</v>
      </c>
      <c r="D77" s="76">
        <f>[69]nccomp!$C$14</f>
        <v>175326176.86507937</v>
      </c>
      <c r="E77" s="77">
        <f>[69]nccomp!$C$16</f>
        <v>0</v>
      </c>
      <c r="F77" s="77">
        <f>[69]nccomp!$C$17</f>
        <v>4714917.46</v>
      </c>
      <c r="G77" s="78">
        <f t="shared" si="7"/>
        <v>4714917.46</v>
      </c>
      <c r="H77" s="78">
        <f t="shared" si="8"/>
        <v>180041094.32507938</v>
      </c>
      <c r="I77" s="76">
        <v>73582159.833145261</v>
      </c>
      <c r="J77" s="78">
        <f t="shared" si="9"/>
        <v>106458934.49193412</v>
      </c>
      <c r="K77" s="76"/>
      <c r="L77" s="78">
        <f t="shared" si="6"/>
        <v>73582159.833145261</v>
      </c>
      <c r="M77" s="78">
        <f t="shared" si="10"/>
        <v>106458934.49193412</v>
      </c>
      <c r="P77" s="76">
        <f>[69]nccomp!$C$36</f>
        <v>-3021068.2700000005</v>
      </c>
      <c r="Q77" s="76">
        <f>[69]nccomp!$C$25</f>
        <v>-849238.68494175922</v>
      </c>
      <c r="R77" s="76">
        <f>[69]nccomp!$C$23</f>
        <v>-218803.87999999986</v>
      </c>
      <c r="S77" s="78">
        <f t="shared" si="11"/>
        <v>-4089110.8349417597</v>
      </c>
    </row>
    <row r="78" spans="3:19" ht="16.5" customHeight="1" x14ac:dyDescent="0.25">
      <c r="C78" s="75">
        <v>42468</v>
      </c>
      <c r="D78" s="76">
        <f>[70]nccomp!$C$14</f>
        <v>175231359.43809524</v>
      </c>
      <c r="E78" s="77">
        <f>[70]nccomp!$C$16</f>
        <v>0</v>
      </c>
      <c r="F78" s="77">
        <f>[70]nccomp!$C$17</f>
        <v>4714917.46</v>
      </c>
      <c r="G78" s="78">
        <f t="shared" si="7"/>
        <v>4714917.46</v>
      </c>
      <c r="H78" s="78">
        <f t="shared" si="8"/>
        <v>179946276.89809525</v>
      </c>
      <c r="I78" s="76">
        <v>73343600.923343122</v>
      </c>
      <c r="J78" s="78">
        <f t="shared" si="9"/>
        <v>106602675.97475213</v>
      </c>
      <c r="K78" s="76"/>
      <c r="L78" s="78">
        <f t="shared" si="6"/>
        <v>73343600.923343122</v>
      </c>
      <c r="M78" s="78">
        <f t="shared" si="10"/>
        <v>106602675.97475213</v>
      </c>
      <c r="P78" s="76">
        <f>[70]nccomp!$C$36</f>
        <v>-3016982.9899999998</v>
      </c>
      <c r="Q78" s="76">
        <f>[70]nccomp!$C$25</f>
        <v>-768089.4201499999</v>
      </c>
      <c r="R78" s="76">
        <f>[70]nccomp!$C$23</f>
        <v>-921593.94999999925</v>
      </c>
      <c r="S78" s="78">
        <f t="shared" si="11"/>
        <v>-4706666.3601499991</v>
      </c>
    </row>
    <row r="79" spans="3:19" ht="16.5" customHeight="1" x14ac:dyDescent="0.25">
      <c r="C79" s="75">
        <v>42471</v>
      </c>
      <c r="D79" s="76">
        <f>[71]nccomp!$C$14</f>
        <v>174825403.51111111</v>
      </c>
      <c r="E79" s="77">
        <f>[71]nccomp!$C$16</f>
        <v>0</v>
      </c>
      <c r="F79" s="77">
        <f>[71]nccomp!$C$17</f>
        <v>4714917.46</v>
      </c>
      <c r="G79" s="78">
        <f t="shared" si="7"/>
        <v>4714917.46</v>
      </c>
      <c r="H79" s="78">
        <f t="shared" si="8"/>
        <v>179540320.97111112</v>
      </c>
      <c r="I79" s="76">
        <v>73344401.395577282</v>
      </c>
      <c r="J79" s="78">
        <f t="shared" si="9"/>
        <v>106195919.57553384</v>
      </c>
      <c r="K79" s="76">
        <v>2625000</v>
      </c>
      <c r="L79" s="78">
        <f t="shared" si="6"/>
        <v>75969401.395577282</v>
      </c>
      <c r="M79" s="78">
        <f t="shared" si="10"/>
        <v>103570919.57553384</v>
      </c>
      <c r="P79" s="76">
        <f>[71]nccomp!$C$36</f>
        <v>-3042869.53</v>
      </c>
      <c r="Q79" s="76">
        <f>[71]nccomp!$C$25</f>
        <v>-1965345.054</v>
      </c>
      <c r="R79" s="76">
        <f>[71]nccomp!$C$23</f>
        <v>-1073253.0599999994</v>
      </c>
      <c r="S79" s="78">
        <f t="shared" si="11"/>
        <v>-6081467.6439999994</v>
      </c>
    </row>
    <row r="80" spans="3:19" ht="16.5" customHeight="1" x14ac:dyDescent="0.25">
      <c r="C80" s="75">
        <v>42472</v>
      </c>
      <c r="D80" s="76">
        <f>[72]nccomp!$C$14</f>
        <v>174419447.58412698</v>
      </c>
      <c r="E80" s="77">
        <f>[72]nccomp!$C$16</f>
        <v>0</v>
      </c>
      <c r="F80" s="77">
        <f>[72]nccomp!$C$17</f>
        <v>4714917.46</v>
      </c>
      <c r="G80" s="78">
        <f t="shared" si="7"/>
        <v>4714917.46</v>
      </c>
      <c r="H80" s="78">
        <f t="shared" si="8"/>
        <v>179134365.04412699</v>
      </c>
      <c r="I80" s="76">
        <v>68572965.829782754</v>
      </c>
      <c r="J80" s="78">
        <f t="shared" si="9"/>
        <v>110561399.21434423</v>
      </c>
      <c r="K80" s="76"/>
      <c r="L80" s="78">
        <f t="shared" si="6"/>
        <v>68572965.829782754</v>
      </c>
      <c r="M80" s="78">
        <f t="shared" si="10"/>
        <v>110561399.21434423</v>
      </c>
      <c r="P80" s="76">
        <f>[72]nccomp!$C$36</f>
        <v>-71821.509999999835</v>
      </c>
      <c r="Q80" s="76">
        <f>[72]nccomp!$C$25</f>
        <v>-2480750.4514421904</v>
      </c>
      <c r="R80" s="76">
        <f>[72]nccomp!$C$23</f>
        <v>-177574.34826388845</v>
      </c>
      <c r="S80" s="78">
        <f t="shared" si="11"/>
        <v>-2730146.3097060788</v>
      </c>
    </row>
    <row r="81" spans="2:19" ht="16.5" customHeight="1" x14ac:dyDescent="0.25">
      <c r="C81" s="75">
        <v>42473</v>
      </c>
      <c r="D81" s="76">
        <f>[73]nccomp!$C$14</f>
        <v>174013491.65714285</v>
      </c>
      <c r="E81" s="77">
        <f>[73]nccomp!$C$16</f>
        <v>0</v>
      </c>
      <c r="F81" s="77">
        <f>[73]nccomp!$C$17</f>
        <v>4714917.46</v>
      </c>
      <c r="G81" s="78">
        <f t="shared" si="7"/>
        <v>4714917.46</v>
      </c>
      <c r="H81" s="78">
        <f t="shared" si="8"/>
        <v>178728409.11714286</v>
      </c>
      <c r="I81" s="76">
        <v>68573322.925527066</v>
      </c>
      <c r="J81" s="78">
        <f t="shared" si="9"/>
        <v>110155086.19161579</v>
      </c>
      <c r="K81" s="76">
        <v>5400000</v>
      </c>
      <c r="L81" s="78">
        <f t="shared" si="6"/>
        <v>73973322.925527066</v>
      </c>
      <c r="M81" s="78">
        <f t="shared" si="10"/>
        <v>104755086.19161579</v>
      </c>
      <c r="P81" s="76">
        <f>[73]nccomp!$C$36</f>
        <v>-46942.390000000072</v>
      </c>
      <c r="Q81" s="76">
        <f>[73]nccomp!$C$25</f>
        <v>-1638886.6058</v>
      </c>
      <c r="R81" s="76">
        <f>[73]nccomp!$C$23</f>
        <v>-1863273.2299999995</v>
      </c>
      <c r="S81" s="78">
        <f t="shared" si="11"/>
        <v>-3549102.2257999997</v>
      </c>
    </row>
    <row r="82" spans="2:19" ht="16.5" customHeight="1" x14ac:dyDescent="0.25">
      <c r="C82" s="75">
        <v>42474</v>
      </c>
      <c r="D82" s="76">
        <f>[74]nccomp!$C$14</f>
        <v>174021146.73015875</v>
      </c>
      <c r="E82" s="77">
        <f>[74]nccomp!$C$16</f>
        <v>0</v>
      </c>
      <c r="F82" s="77">
        <f>[74]nccomp!$C$17</f>
        <v>4714917.46</v>
      </c>
      <c r="G82" s="78">
        <f t="shared" si="7"/>
        <v>4714917.46</v>
      </c>
      <c r="H82" s="78">
        <f t="shared" si="8"/>
        <v>178736064.19015875</v>
      </c>
      <c r="I82" s="76">
        <v>71001182.305925265</v>
      </c>
      <c r="J82" s="78">
        <f t="shared" si="9"/>
        <v>107734881.88423349</v>
      </c>
      <c r="K82" s="76"/>
      <c r="L82" s="78">
        <f t="shared" si="6"/>
        <v>71001182.305925265</v>
      </c>
      <c r="M82" s="78">
        <f t="shared" si="10"/>
        <v>107734881.88423349</v>
      </c>
      <c r="P82" s="76">
        <f>[74]nccomp!$C$36</f>
        <v>-44124.130000000048</v>
      </c>
      <c r="Q82" s="76">
        <f>[74]nccomp!$C$25</f>
        <v>-258239.0296000001</v>
      </c>
      <c r="R82" s="76">
        <f>[74]nccomp!$C$23</f>
        <v>-2580386.7100000018</v>
      </c>
      <c r="S82" s="78">
        <f t="shared" si="11"/>
        <v>-2882749.8696000017</v>
      </c>
    </row>
    <row r="83" spans="2:19" ht="16.5" customHeight="1" x14ac:dyDescent="0.25">
      <c r="C83" s="75">
        <v>42475</v>
      </c>
      <c r="D83" s="76">
        <f>[75]nccomp!$C$14</f>
        <v>173815189.80317461</v>
      </c>
      <c r="E83" s="77">
        <f>[75]nccomp!$C$16</f>
        <v>0</v>
      </c>
      <c r="F83" s="77">
        <f>[75]nccomp!$C$17</f>
        <v>4714917.46</v>
      </c>
      <c r="G83" s="78">
        <f t="shared" si="7"/>
        <v>4714917.46</v>
      </c>
      <c r="H83" s="78">
        <f t="shared" si="8"/>
        <v>178530107.26317462</v>
      </c>
      <c r="I83" s="76">
        <v>69059536.360775799</v>
      </c>
      <c r="J83" s="78">
        <f t="shared" si="9"/>
        <v>109470570.90239882</v>
      </c>
      <c r="K83" s="76"/>
      <c r="L83" s="78">
        <f t="shared" si="6"/>
        <v>69059536.360775799</v>
      </c>
      <c r="M83" s="78">
        <f t="shared" si="10"/>
        <v>109470570.90239882</v>
      </c>
      <c r="P83" s="76">
        <f>[75]nccomp!$C$36</f>
        <v>-42568.450000000055</v>
      </c>
      <c r="Q83" s="76">
        <f>[75]nccomp!$C$25</f>
        <v>-90426.790000000037</v>
      </c>
      <c r="R83" s="76">
        <f>[75]nccomp!$C$23</f>
        <v>-3746434.8800000008</v>
      </c>
      <c r="S83" s="78">
        <f t="shared" si="11"/>
        <v>-3879430.120000001</v>
      </c>
    </row>
    <row r="84" spans="2:19" ht="16.5" customHeight="1" x14ac:dyDescent="0.25">
      <c r="C84" s="75">
        <v>42478</v>
      </c>
      <c r="D84" s="76">
        <f>[76]nccomp!$C$14</f>
        <v>173409233.87619048</v>
      </c>
      <c r="E84" s="77">
        <f>[76]nccomp!$C$16</f>
        <v>1140000000</v>
      </c>
      <c r="F84" s="77">
        <f>[76]nccomp!$C$17</f>
        <v>4714917.46</v>
      </c>
      <c r="G84" s="78">
        <f t="shared" si="7"/>
        <v>1144714917.46</v>
      </c>
      <c r="H84" s="78">
        <f t="shared" si="8"/>
        <v>1318124151.3361905</v>
      </c>
      <c r="I84" s="76">
        <v>74535947.509610355</v>
      </c>
      <c r="J84" s="78">
        <f t="shared" si="9"/>
        <v>1243588203.82658</v>
      </c>
      <c r="K84" s="76"/>
      <c r="L84" s="78">
        <f t="shared" si="6"/>
        <v>74535947.509610355</v>
      </c>
      <c r="M84" s="78">
        <f t="shared" si="10"/>
        <v>1243588203.82658</v>
      </c>
      <c r="P84" s="76">
        <f>[76]nccomp!$C$36</f>
        <v>-48799.430000000197</v>
      </c>
      <c r="Q84" s="76">
        <f>[76]nccomp!$C$25</f>
        <v>-98314.790000000037</v>
      </c>
      <c r="R84" s="76">
        <f>[76]nccomp!$C$23</f>
        <v>-5270646.3400000008</v>
      </c>
      <c r="S84" s="78">
        <f t="shared" si="11"/>
        <v>-5417760.5600000015</v>
      </c>
    </row>
    <row r="85" spans="2:19" ht="16.5" customHeight="1" x14ac:dyDescent="0.25">
      <c r="C85" s="75">
        <v>42479</v>
      </c>
      <c r="D85" s="76">
        <f>[77]nccomp!$C$14</f>
        <v>173028215.94920635</v>
      </c>
      <c r="E85" s="77">
        <f>[77]nccomp!$C$16</f>
        <v>1140000000</v>
      </c>
      <c r="F85" s="77">
        <f>[77]nccomp!$C$17</f>
        <v>4714917.46</v>
      </c>
      <c r="G85" s="78">
        <f t="shared" si="7"/>
        <v>1144714917.46</v>
      </c>
      <c r="H85" s="78">
        <f t="shared" si="8"/>
        <v>1317743133.4092064</v>
      </c>
      <c r="I85" s="76">
        <v>76049106.567206323</v>
      </c>
      <c r="J85" s="78">
        <f t="shared" si="9"/>
        <v>1241694026.842</v>
      </c>
      <c r="K85" s="76">
        <v>940500000</v>
      </c>
      <c r="L85" s="78">
        <f t="shared" si="6"/>
        <v>1016549106.5672064</v>
      </c>
      <c r="M85" s="78">
        <f t="shared" si="10"/>
        <v>301194026.84200001</v>
      </c>
      <c r="P85" s="76">
        <f>[77]nccomp!$C$36</f>
        <v>-58140.040000000008</v>
      </c>
      <c r="Q85" s="76">
        <f>[77]nccomp!$C$25</f>
        <v>-1689760.3965000003</v>
      </c>
      <c r="R85" s="76">
        <f>[77]nccomp!$C$23</f>
        <v>-5489870.379999999</v>
      </c>
      <c r="S85" s="78">
        <f t="shared" si="11"/>
        <v>-7237770.8164999988</v>
      </c>
    </row>
    <row r="86" spans="2:19" ht="16.5" customHeight="1" x14ac:dyDescent="0.25">
      <c r="C86" s="75"/>
      <c r="D86" s="76"/>
      <c r="E86" s="77"/>
      <c r="F86" s="77"/>
      <c r="G86" s="78"/>
      <c r="H86" s="78"/>
      <c r="I86" s="76"/>
      <c r="J86" s="78"/>
      <c r="K86" s="76"/>
      <c r="L86" s="78"/>
      <c r="M86" s="78"/>
      <c r="P86" s="76"/>
      <c r="Q86" s="76"/>
      <c r="R86" s="76"/>
      <c r="S86" s="78"/>
    </row>
    <row r="87" spans="2:19" ht="16.5" customHeight="1" x14ac:dyDescent="0.25">
      <c r="C87" s="75"/>
      <c r="D87" s="76"/>
      <c r="E87" s="77"/>
      <c r="F87" s="77"/>
      <c r="G87" s="78"/>
      <c r="H87" s="78"/>
      <c r="I87" s="76"/>
      <c r="J87" s="78"/>
      <c r="K87" s="76"/>
      <c r="L87" s="78"/>
      <c r="M87" s="78"/>
      <c r="P87" s="76"/>
      <c r="Q87" s="76"/>
      <c r="R87" s="76"/>
      <c r="S87" s="78"/>
    </row>
    <row r="88" spans="2:19" x14ac:dyDescent="0.25">
      <c r="C88" s="3" t="s">
        <v>442</v>
      </c>
      <c r="D88" s="78"/>
      <c r="E88" s="80"/>
      <c r="F88" s="80"/>
      <c r="G88" s="78"/>
      <c r="H88" s="78"/>
      <c r="I88" s="78"/>
      <c r="J88" s="78"/>
      <c r="K88" s="78"/>
      <c r="L88" s="78"/>
      <c r="M88" s="78"/>
    </row>
    <row r="89" spans="2:19" x14ac:dyDescent="0.25">
      <c r="C89" s="60"/>
      <c r="D89" s="78"/>
      <c r="E89" s="80"/>
      <c r="F89" s="80"/>
      <c r="G89" s="78"/>
      <c r="H89" s="78"/>
      <c r="I89" s="78"/>
      <c r="J89" s="78"/>
      <c r="K89" s="78"/>
      <c r="L89" s="78"/>
      <c r="M89" s="78"/>
    </row>
    <row r="90" spans="2:19" ht="30" x14ac:dyDescent="0.25">
      <c r="C90" s="60"/>
      <c r="D90" s="3" t="s">
        <v>443</v>
      </c>
      <c r="E90" s="67" t="s">
        <v>444</v>
      </c>
      <c r="F90" s="60" t="s">
        <v>445</v>
      </c>
      <c r="G90" s="68" t="s">
        <v>446</v>
      </c>
      <c r="H90" s="69" t="s">
        <v>447</v>
      </c>
      <c r="I90" s="70" t="s">
        <v>448</v>
      </c>
      <c r="J90" s="71" t="s">
        <v>449</v>
      </c>
      <c r="K90" s="72" t="s">
        <v>450</v>
      </c>
      <c r="L90" s="73" t="s">
        <v>451</v>
      </c>
      <c r="M90" s="74" t="s">
        <v>452</v>
      </c>
    </row>
    <row r="91" spans="2:19" s="60" customFormat="1" hidden="1" x14ac:dyDescent="0.25">
      <c r="B91" s="60" t="s">
        <v>457</v>
      </c>
      <c r="C91" s="2"/>
      <c r="D91" s="59">
        <f t="shared" ref="D91:I91" si="12">AVERAGE(D12:D26)</f>
        <v>171431592.36815196</v>
      </c>
      <c r="E91" s="59">
        <f t="shared" si="12"/>
        <v>363675133.30000001</v>
      </c>
      <c r="F91" s="59">
        <f t="shared" si="12"/>
        <v>2829020.2666666666</v>
      </c>
      <c r="G91" s="59">
        <f t="shared" si="12"/>
        <v>366504153.56666666</v>
      </c>
      <c r="H91" s="59">
        <f t="shared" si="12"/>
        <v>537935745.93481863</v>
      </c>
      <c r="I91" s="59">
        <f t="shared" si="12"/>
        <v>52471568.549974822</v>
      </c>
      <c r="J91" s="80">
        <f t="shared" ref="J91" si="13">D91+G91-I91</f>
        <v>485464177.38484383</v>
      </c>
      <c r="K91" s="59">
        <f>AVERAGE(K12:K26)</f>
        <v>68851714.285714284</v>
      </c>
      <c r="L91" s="80">
        <f t="shared" ref="L91" si="14">+I91+K91</f>
        <v>121323282.8356891</v>
      </c>
      <c r="M91" s="80">
        <f t="shared" ref="M91" si="15">+J91-K91</f>
        <v>416612463.09912956</v>
      </c>
    </row>
    <row r="92" spans="2:19" s="60" customFormat="1" x14ac:dyDescent="0.25">
      <c r="B92" s="60" t="s">
        <v>458</v>
      </c>
      <c r="C92" s="2"/>
      <c r="D92" s="59">
        <f>AVERAGE(D12:D72)</f>
        <v>171051268.49124971</v>
      </c>
      <c r="E92" s="59">
        <f t="shared" ref="E92:M92" si="16">AVERAGE(E12:E72)</f>
        <v>148448726.94262296</v>
      </c>
      <c r="F92" s="59">
        <f t="shared" si="16"/>
        <v>2473416.5603278666</v>
      </c>
      <c r="G92" s="59">
        <f t="shared" si="16"/>
        <v>150922143.50295031</v>
      </c>
      <c r="H92" s="59">
        <f t="shared" si="16"/>
        <v>321973411.99420059</v>
      </c>
      <c r="I92" s="59">
        <f t="shared" si="16"/>
        <v>58933604.007146508</v>
      </c>
      <c r="J92" s="59">
        <f t="shared" si="16"/>
        <v>263039807.98705408</v>
      </c>
      <c r="K92" s="59">
        <f t="shared" si="16"/>
        <v>49153566.847826086</v>
      </c>
      <c r="L92" s="59">
        <f t="shared" si="16"/>
        <v>77466916.097310469</v>
      </c>
      <c r="M92" s="59">
        <f t="shared" si="16"/>
        <v>244506495.8968901</v>
      </c>
    </row>
  </sheetData>
  <autoFilter ref="C11:M26"/>
  <mergeCells count="1">
    <mergeCell ref="A3:K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5"/>
  <sheetViews>
    <sheetView workbookViewId="0">
      <selection activeCell="K44" sqref="K44"/>
    </sheetView>
  </sheetViews>
  <sheetFormatPr defaultRowHeight="15" x14ac:dyDescent="0.25"/>
  <cols>
    <col min="1" max="1" width="9.140625" style="4"/>
    <col min="2" max="2" width="9.140625" style="2"/>
    <col min="3" max="3" width="16" style="2" customWidth="1"/>
    <col min="4" max="4" width="3.85546875" style="2" customWidth="1"/>
    <col min="5" max="5" width="9.140625" style="2"/>
    <col min="6" max="6" width="16" style="2" customWidth="1"/>
    <col min="7" max="7" width="9.140625" style="4"/>
    <col min="8" max="8" width="9.140625" style="2"/>
    <col min="9" max="9" width="18.42578125" style="2" customWidth="1"/>
    <col min="10" max="10" width="3.42578125" style="2" customWidth="1"/>
    <col min="11" max="11" width="9.140625" style="2"/>
    <col min="12" max="12" width="17.140625" style="2" customWidth="1"/>
    <col min="13" max="13" width="9.140625" style="4"/>
    <col min="14" max="14" width="9.140625" style="2"/>
    <col min="15" max="15" width="13.5703125" style="2" customWidth="1"/>
    <col min="16" max="16" width="4.28515625" style="2" customWidth="1"/>
    <col min="17" max="17" width="9.140625" style="2"/>
    <col min="18" max="18" width="13.7109375" style="2" customWidth="1"/>
    <col min="19" max="16384" width="9.140625" style="4"/>
  </cols>
  <sheetData>
    <row r="1" spans="2:18" x14ac:dyDescent="0.25">
      <c r="B1" s="4"/>
      <c r="C1" s="4"/>
      <c r="D1" s="4"/>
      <c r="E1" s="4"/>
      <c r="F1" s="4"/>
      <c r="H1" s="4"/>
      <c r="I1" s="4"/>
      <c r="J1" s="4"/>
      <c r="K1" s="4"/>
      <c r="L1" s="4"/>
      <c r="N1" s="4"/>
      <c r="O1" s="4"/>
      <c r="P1" s="4"/>
      <c r="Q1" s="4"/>
      <c r="R1" s="4"/>
    </row>
    <row r="2" spans="2:18" x14ac:dyDescent="0.25">
      <c r="B2" s="4"/>
      <c r="C2" s="4"/>
      <c r="D2" s="4"/>
      <c r="E2" s="4"/>
      <c r="F2" s="4"/>
      <c r="H2" s="4"/>
      <c r="I2" s="4"/>
      <c r="J2" s="4"/>
      <c r="K2" s="4"/>
      <c r="L2" s="4"/>
      <c r="N2" s="4"/>
      <c r="O2" s="4"/>
      <c r="P2" s="4"/>
      <c r="Q2" s="4"/>
      <c r="R2" s="4"/>
    </row>
    <row r="3" spans="2:18" x14ac:dyDescent="0.25">
      <c r="B3" s="88">
        <v>2014</v>
      </c>
      <c r="C3" s="89"/>
      <c r="D3" s="89"/>
      <c r="E3" s="89"/>
      <c r="F3" s="89"/>
      <c r="H3" s="88">
        <v>2015</v>
      </c>
      <c r="I3" s="89"/>
      <c r="J3" s="89"/>
      <c r="K3" s="89"/>
      <c r="L3" s="89"/>
      <c r="N3" s="88">
        <v>2016</v>
      </c>
      <c r="O3" s="89"/>
      <c r="P3" s="89"/>
      <c r="Q3" s="89"/>
      <c r="R3" s="89"/>
    </row>
    <row r="4" spans="2:18" x14ac:dyDescent="0.25">
      <c r="C4" s="3" t="s">
        <v>488</v>
      </c>
      <c r="D4" s="3"/>
      <c r="E4" s="3"/>
      <c r="F4" s="3" t="s">
        <v>489</v>
      </c>
      <c r="I4" s="3" t="s">
        <v>488</v>
      </c>
      <c r="L4" s="3" t="s">
        <v>489</v>
      </c>
      <c r="O4" s="3" t="s">
        <v>488</v>
      </c>
      <c r="P4" s="3"/>
      <c r="Q4" s="3"/>
      <c r="R4" s="3" t="s">
        <v>489</v>
      </c>
    </row>
    <row r="5" spans="2:18" x14ac:dyDescent="0.25">
      <c r="C5" s="90" t="s">
        <v>490</v>
      </c>
      <c r="D5" s="3"/>
      <c r="E5" s="3"/>
      <c r="F5" s="90" t="s">
        <v>490</v>
      </c>
      <c r="I5" s="90" t="s">
        <v>490</v>
      </c>
      <c r="L5" s="90" t="s">
        <v>490</v>
      </c>
      <c r="O5" s="90" t="s">
        <v>490</v>
      </c>
      <c r="P5" s="3"/>
      <c r="Q5" s="3"/>
      <c r="R5" s="90" t="s">
        <v>490</v>
      </c>
    </row>
    <row r="6" spans="2:18" x14ac:dyDescent="0.25">
      <c r="B6" s="91">
        <v>41821</v>
      </c>
      <c r="C6" s="61">
        <v>658000000</v>
      </c>
      <c r="E6" s="91">
        <v>41821</v>
      </c>
      <c r="F6" s="61">
        <v>390000000</v>
      </c>
      <c r="H6" s="91">
        <v>42006</v>
      </c>
      <c r="I6" s="61">
        <v>542000000</v>
      </c>
      <c r="K6" s="91">
        <v>42006</v>
      </c>
      <c r="L6" s="61">
        <v>457000000</v>
      </c>
      <c r="N6" s="91">
        <v>42373</v>
      </c>
      <c r="O6" s="61">
        <v>296000000</v>
      </c>
      <c r="Q6" s="91">
        <v>42373</v>
      </c>
      <c r="R6" s="61">
        <v>446000000</v>
      </c>
    </row>
    <row r="7" spans="2:18" x14ac:dyDescent="0.25">
      <c r="B7" s="91">
        <v>41822</v>
      </c>
      <c r="C7" s="61">
        <v>660000000</v>
      </c>
      <c r="E7" s="91">
        <v>41822</v>
      </c>
      <c r="F7" s="61">
        <v>392000000</v>
      </c>
      <c r="H7" s="91">
        <v>42011</v>
      </c>
      <c r="I7" s="61">
        <v>560000000</v>
      </c>
      <c r="K7" s="91">
        <v>42011</v>
      </c>
      <c r="L7" s="61">
        <v>464000000</v>
      </c>
      <c r="N7" s="91">
        <v>42374</v>
      </c>
      <c r="O7" s="61">
        <v>286000000</v>
      </c>
      <c r="Q7" s="91">
        <v>42374</v>
      </c>
      <c r="R7" s="61">
        <v>448000000</v>
      </c>
    </row>
    <row r="8" spans="2:18" x14ac:dyDescent="0.25">
      <c r="B8" s="91">
        <v>41835</v>
      </c>
      <c r="C8" s="61">
        <v>663000000</v>
      </c>
      <c r="E8" s="91">
        <v>41835</v>
      </c>
      <c r="F8" s="61">
        <v>420000000</v>
      </c>
      <c r="H8" s="91">
        <v>42018</v>
      </c>
      <c r="I8" s="61">
        <v>547000000</v>
      </c>
      <c r="K8" s="91">
        <v>42018</v>
      </c>
      <c r="L8" s="61">
        <v>456000000</v>
      </c>
      <c r="N8" s="91">
        <v>42375</v>
      </c>
      <c r="O8" s="61">
        <v>281000000</v>
      </c>
      <c r="Q8" s="91">
        <v>42375</v>
      </c>
      <c r="R8" s="61">
        <v>440000000</v>
      </c>
    </row>
    <row r="9" spans="2:18" x14ac:dyDescent="0.25">
      <c r="B9" s="91">
        <v>41841</v>
      </c>
      <c r="C9" s="61">
        <v>613000000</v>
      </c>
      <c r="E9" s="91">
        <v>41841</v>
      </c>
      <c r="F9" s="61">
        <v>418000000</v>
      </c>
      <c r="H9" s="91">
        <v>42023</v>
      </c>
      <c r="I9" s="61">
        <v>494100000</v>
      </c>
      <c r="K9" s="91">
        <v>42023</v>
      </c>
      <c r="L9" s="61">
        <v>450000000</v>
      </c>
      <c r="N9" s="91">
        <v>42376</v>
      </c>
      <c r="O9" s="61">
        <v>277000000</v>
      </c>
      <c r="Q9" s="91">
        <v>42376</v>
      </c>
      <c r="R9" s="61">
        <v>430000000</v>
      </c>
    </row>
    <row r="10" spans="2:18" x14ac:dyDescent="0.25">
      <c r="B10" s="91">
        <v>41851</v>
      </c>
      <c r="C10" s="61">
        <v>596000000</v>
      </c>
      <c r="E10" s="91">
        <v>41851</v>
      </c>
      <c r="F10" s="61">
        <v>407000000</v>
      </c>
      <c r="H10" s="91">
        <v>42026</v>
      </c>
      <c r="I10" s="61">
        <v>555000000</v>
      </c>
      <c r="K10" s="91">
        <v>42026</v>
      </c>
      <c r="L10" s="61">
        <v>456000000</v>
      </c>
      <c r="N10" s="91">
        <v>42377</v>
      </c>
      <c r="O10" s="61">
        <v>277000000</v>
      </c>
      <c r="Q10" s="91">
        <v>42377</v>
      </c>
      <c r="R10" s="61">
        <v>430000000</v>
      </c>
    </row>
    <row r="11" spans="2:18" x14ac:dyDescent="0.25">
      <c r="B11" s="91">
        <v>41856</v>
      </c>
      <c r="C11" s="61">
        <v>588000000</v>
      </c>
      <c r="E11" s="91">
        <v>41856</v>
      </c>
      <c r="F11" s="61">
        <v>402000000</v>
      </c>
      <c r="H11" s="91">
        <v>42031</v>
      </c>
      <c r="I11" s="61">
        <v>552000000</v>
      </c>
      <c r="K11" s="91">
        <v>42031</v>
      </c>
      <c r="L11" s="61">
        <v>451000000</v>
      </c>
      <c r="N11" s="91">
        <v>42380</v>
      </c>
      <c r="O11" s="61">
        <v>264000000</v>
      </c>
      <c r="Q11" s="91">
        <v>42380</v>
      </c>
      <c r="R11" s="61">
        <v>428000000</v>
      </c>
    </row>
    <row r="12" spans="2:18" x14ac:dyDescent="0.25">
      <c r="B12" s="91">
        <v>41866</v>
      </c>
      <c r="C12" s="61">
        <v>505000000</v>
      </c>
      <c r="E12" s="91">
        <v>41866</v>
      </c>
      <c r="F12" s="61">
        <v>392000000</v>
      </c>
      <c r="H12" s="91">
        <v>42034</v>
      </c>
      <c r="I12" s="61">
        <v>530000000</v>
      </c>
      <c r="K12" s="91">
        <v>42034</v>
      </c>
      <c r="L12" s="61">
        <v>464000000</v>
      </c>
      <c r="N12" s="91">
        <v>42381</v>
      </c>
      <c r="O12" s="61">
        <v>263000000</v>
      </c>
      <c r="Q12" s="91">
        <v>42381</v>
      </c>
      <c r="R12" s="61">
        <v>427000000</v>
      </c>
    </row>
    <row r="13" spans="2:18" x14ac:dyDescent="0.25">
      <c r="B13" s="91">
        <v>41873</v>
      </c>
      <c r="C13" s="61">
        <v>528000000</v>
      </c>
      <c r="E13" s="91">
        <v>41873</v>
      </c>
      <c r="F13" s="61">
        <v>398000000</v>
      </c>
      <c r="H13" s="91">
        <v>42038</v>
      </c>
      <c r="I13" s="61">
        <v>565000000</v>
      </c>
      <c r="K13" s="91">
        <v>42038</v>
      </c>
      <c r="L13" s="61">
        <v>472000000</v>
      </c>
      <c r="N13" s="91">
        <v>42382</v>
      </c>
      <c r="O13" s="61">
        <v>262000000</v>
      </c>
      <c r="Q13" s="91">
        <v>42382</v>
      </c>
      <c r="R13" s="61">
        <v>427000000</v>
      </c>
    </row>
    <row r="14" spans="2:18" x14ac:dyDescent="0.25">
      <c r="B14" s="91">
        <v>41880</v>
      </c>
      <c r="C14" s="61">
        <v>533000000</v>
      </c>
      <c r="E14" s="91">
        <v>41880</v>
      </c>
      <c r="F14" s="61">
        <v>407000000</v>
      </c>
      <c r="H14" s="91">
        <v>42041</v>
      </c>
      <c r="I14" s="61">
        <v>570000000</v>
      </c>
      <c r="K14" s="91">
        <v>42041</v>
      </c>
      <c r="L14" s="61">
        <v>473000000</v>
      </c>
      <c r="N14" s="91">
        <v>42383</v>
      </c>
      <c r="O14" s="61">
        <v>263000000</v>
      </c>
      <c r="Q14" s="91">
        <v>42383</v>
      </c>
      <c r="R14" s="61">
        <v>426000000</v>
      </c>
    </row>
    <row r="15" spans="2:18" x14ac:dyDescent="0.25">
      <c r="B15" s="91">
        <v>41887</v>
      </c>
      <c r="C15" s="61">
        <v>538000000</v>
      </c>
      <c r="E15" s="91">
        <v>41887</v>
      </c>
      <c r="F15" s="61">
        <v>412000000</v>
      </c>
      <c r="H15" s="91">
        <v>42045</v>
      </c>
      <c r="I15" s="61">
        <v>573000000</v>
      </c>
      <c r="K15" s="91">
        <v>42045</v>
      </c>
      <c r="L15" s="61">
        <v>475000000</v>
      </c>
      <c r="N15" s="91">
        <v>42384</v>
      </c>
      <c r="O15" s="61">
        <v>249000000</v>
      </c>
      <c r="Q15" s="91">
        <v>42384</v>
      </c>
      <c r="R15" s="61">
        <v>419000000</v>
      </c>
    </row>
    <row r="16" spans="2:18" x14ac:dyDescent="0.25">
      <c r="B16" s="91">
        <v>41897</v>
      </c>
      <c r="C16" s="61">
        <v>537000000</v>
      </c>
      <c r="E16" s="91">
        <v>41897</v>
      </c>
      <c r="F16" s="61">
        <v>420000000</v>
      </c>
      <c r="H16" s="91">
        <v>42047</v>
      </c>
      <c r="I16" s="61">
        <v>588000000</v>
      </c>
      <c r="K16" s="91">
        <v>42047</v>
      </c>
      <c r="L16" s="61">
        <v>475000000</v>
      </c>
      <c r="N16" s="91">
        <v>42388</v>
      </c>
      <c r="O16" s="61">
        <v>248000000</v>
      </c>
      <c r="Q16" s="91">
        <v>42388</v>
      </c>
      <c r="R16" s="61">
        <v>418000000</v>
      </c>
    </row>
    <row r="17" spans="2:18" x14ac:dyDescent="0.25">
      <c r="B17" s="91">
        <v>41904</v>
      </c>
      <c r="C17" s="61">
        <v>550000000</v>
      </c>
      <c r="E17" s="91">
        <v>41904</v>
      </c>
      <c r="F17" s="61">
        <v>422000000</v>
      </c>
      <c r="H17" s="91">
        <v>42051</v>
      </c>
      <c r="I17" s="61">
        <v>595000000</v>
      </c>
      <c r="K17" s="91">
        <v>42051</v>
      </c>
      <c r="L17" s="61">
        <v>474000000</v>
      </c>
      <c r="N17" s="91">
        <v>42389</v>
      </c>
      <c r="O17" s="61">
        <v>238000000</v>
      </c>
      <c r="Q17" s="91">
        <v>42389</v>
      </c>
      <c r="R17" s="61">
        <v>415000000</v>
      </c>
    </row>
    <row r="18" spans="2:18" x14ac:dyDescent="0.25">
      <c r="B18" s="91">
        <v>41912</v>
      </c>
      <c r="C18" s="61">
        <v>543000000</v>
      </c>
      <c r="E18" s="91">
        <v>41912</v>
      </c>
      <c r="F18" s="61">
        <v>411000000</v>
      </c>
      <c r="H18" s="91">
        <v>42053</v>
      </c>
      <c r="I18" s="61">
        <v>600000000</v>
      </c>
      <c r="K18" s="91">
        <v>42053</v>
      </c>
      <c r="L18" s="61">
        <v>476000000</v>
      </c>
      <c r="N18" s="91">
        <v>42390</v>
      </c>
      <c r="O18" s="61">
        <v>238000000</v>
      </c>
      <c r="Q18" s="91">
        <v>42390</v>
      </c>
      <c r="R18" s="61">
        <v>416000000</v>
      </c>
    </row>
    <row r="19" spans="2:18" x14ac:dyDescent="0.25">
      <c r="B19" s="91">
        <v>41913</v>
      </c>
      <c r="C19" s="61">
        <v>476000000</v>
      </c>
      <c r="E19" s="91">
        <v>41913</v>
      </c>
      <c r="F19" s="61">
        <v>403000000</v>
      </c>
      <c r="H19" s="91">
        <v>42055</v>
      </c>
      <c r="I19" s="61">
        <v>607000000</v>
      </c>
      <c r="K19" s="91">
        <v>42055</v>
      </c>
      <c r="L19" s="61">
        <v>483000000</v>
      </c>
      <c r="N19" s="91">
        <v>42391</v>
      </c>
      <c r="O19" s="61">
        <v>240000000</v>
      </c>
      <c r="Q19" s="91">
        <v>42391</v>
      </c>
      <c r="R19" s="61">
        <v>419000000</v>
      </c>
    </row>
    <row r="20" spans="2:18" x14ac:dyDescent="0.25">
      <c r="B20" s="91">
        <v>41918</v>
      </c>
      <c r="C20" s="61">
        <v>480000000</v>
      </c>
      <c r="E20" s="91">
        <v>41918</v>
      </c>
      <c r="F20" s="61">
        <v>410000000</v>
      </c>
      <c r="H20" s="91">
        <v>42059</v>
      </c>
      <c r="I20" s="61">
        <v>598000000</v>
      </c>
      <c r="K20" s="91">
        <v>42059</v>
      </c>
      <c r="L20" s="61">
        <v>475000000</v>
      </c>
      <c r="N20" s="91">
        <v>42394</v>
      </c>
      <c r="O20" s="61">
        <v>236000000</v>
      </c>
      <c r="Q20" s="91">
        <v>42394</v>
      </c>
      <c r="R20" s="61">
        <v>412000000</v>
      </c>
    </row>
    <row r="21" spans="2:18" x14ac:dyDescent="0.25">
      <c r="B21" s="91">
        <v>41921</v>
      </c>
      <c r="C21" s="61">
        <v>459000000</v>
      </c>
      <c r="E21" s="91">
        <v>41921</v>
      </c>
      <c r="F21" s="61">
        <v>388000000</v>
      </c>
      <c r="H21" s="91">
        <v>42062</v>
      </c>
      <c r="I21" s="61">
        <v>590000000</v>
      </c>
      <c r="K21" s="91">
        <v>42062</v>
      </c>
      <c r="L21" s="61">
        <v>470000000</v>
      </c>
      <c r="N21" s="91">
        <v>42395</v>
      </c>
      <c r="O21" s="61">
        <v>244000000</v>
      </c>
      <c r="Q21" s="91">
        <v>42395</v>
      </c>
      <c r="R21" s="61">
        <v>418000000</v>
      </c>
    </row>
    <row r="22" spans="2:18" x14ac:dyDescent="0.25">
      <c r="B22" s="91">
        <v>41926</v>
      </c>
      <c r="C22" s="61">
        <v>431000000</v>
      </c>
      <c r="E22" s="91">
        <v>41926</v>
      </c>
      <c r="F22" s="61">
        <v>379000000</v>
      </c>
      <c r="H22" s="91">
        <v>42065</v>
      </c>
      <c r="I22" s="61">
        <v>596000000</v>
      </c>
      <c r="K22" s="91">
        <v>42065</v>
      </c>
      <c r="L22" s="61">
        <v>486000000</v>
      </c>
      <c r="N22" s="91">
        <v>42396</v>
      </c>
      <c r="O22" s="61">
        <v>245000000</v>
      </c>
      <c r="Q22" s="91">
        <v>42396</v>
      </c>
      <c r="R22" s="61">
        <v>413000000</v>
      </c>
    </row>
    <row r="23" spans="2:18" x14ac:dyDescent="0.25">
      <c r="B23" s="91">
        <v>41933</v>
      </c>
      <c r="C23" s="61">
        <v>444000000</v>
      </c>
      <c r="E23" s="91">
        <v>41933</v>
      </c>
      <c r="F23" s="61">
        <v>387000000</v>
      </c>
      <c r="H23" s="91">
        <v>42068</v>
      </c>
      <c r="I23" s="61">
        <v>583000000</v>
      </c>
      <c r="K23" s="91">
        <v>42068</v>
      </c>
      <c r="L23" s="61">
        <v>475000000</v>
      </c>
      <c r="N23" s="91">
        <v>42397</v>
      </c>
      <c r="O23" s="61">
        <v>253000000</v>
      </c>
      <c r="Q23" s="91">
        <v>42397</v>
      </c>
      <c r="R23" s="61">
        <v>410000000</v>
      </c>
    </row>
    <row r="24" spans="2:18" x14ac:dyDescent="0.25">
      <c r="B24" s="91">
        <v>41936</v>
      </c>
      <c r="C24" s="61">
        <v>477000000</v>
      </c>
      <c r="E24" s="91">
        <v>41936</v>
      </c>
      <c r="F24" s="61">
        <v>401000000</v>
      </c>
      <c r="H24" s="91">
        <v>42073</v>
      </c>
      <c r="I24" s="61">
        <v>549000000</v>
      </c>
      <c r="K24" s="91">
        <v>42073</v>
      </c>
      <c r="L24" s="61">
        <v>478000000</v>
      </c>
      <c r="N24" s="91">
        <v>42398</v>
      </c>
      <c r="O24" s="61">
        <v>253000000</v>
      </c>
      <c r="Q24" s="91">
        <v>42398</v>
      </c>
      <c r="R24" s="61">
        <v>421000000</v>
      </c>
    </row>
    <row r="25" spans="2:18" x14ac:dyDescent="0.25">
      <c r="B25" s="91">
        <v>41939</v>
      </c>
      <c r="C25" s="61">
        <v>487000000</v>
      </c>
      <c r="E25" s="91">
        <v>41939</v>
      </c>
      <c r="F25" s="61">
        <v>396000000</v>
      </c>
      <c r="H25" s="91">
        <v>42075</v>
      </c>
      <c r="I25" s="61">
        <v>549000000</v>
      </c>
      <c r="K25" s="91">
        <v>42075</v>
      </c>
      <c r="L25" s="61">
        <v>480000000</v>
      </c>
      <c r="N25" s="91">
        <v>42401</v>
      </c>
      <c r="O25" s="61">
        <v>259000000</v>
      </c>
      <c r="Q25" s="91">
        <v>42401</v>
      </c>
      <c r="R25" s="61">
        <v>422000000</v>
      </c>
    </row>
    <row r="26" spans="2:18" x14ac:dyDescent="0.25">
      <c r="B26" s="91">
        <v>41943</v>
      </c>
      <c r="C26" s="61">
        <v>498000000</v>
      </c>
      <c r="E26" s="91">
        <v>41943</v>
      </c>
      <c r="F26" s="61">
        <v>410000000</v>
      </c>
      <c r="H26" s="91">
        <v>42079</v>
      </c>
      <c r="I26" s="61">
        <v>557000000</v>
      </c>
      <c r="K26" s="91">
        <v>42079</v>
      </c>
      <c r="L26" s="61">
        <v>484000000</v>
      </c>
      <c r="N26" s="91">
        <v>42402</v>
      </c>
      <c r="O26" s="61">
        <v>249000000</v>
      </c>
      <c r="Q26" s="91">
        <v>42402</v>
      </c>
      <c r="R26" s="61">
        <v>413000000</v>
      </c>
    </row>
    <row r="27" spans="2:18" x14ac:dyDescent="0.25">
      <c r="B27" s="91">
        <v>41946</v>
      </c>
      <c r="C27" s="61">
        <v>520000000</v>
      </c>
      <c r="E27" s="91">
        <v>41946</v>
      </c>
      <c r="F27" s="61">
        <v>411000000</v>
      </c>
      <c r="H27" s="91">
        <v>42081</v>
      </c>
      <c r="I27" s="61">
        <v>567000000</v>
      </c>
      <c r="K27" s="91">
        <v>42081</v>
      </c>
      <c r="L27" s="61">
        <v>483000000</v>
      </c>
      <c r="N27" s="91">
        <v>42403</v>
      </c>
      <c r="O27" s="61">
        <v>269000000</v>
      </c>
      <c r="Q27" s="91">
        <v>42403</v>
      </c>
      <c r="R27" s="61">
        <v>415000000</v>
      </c>
    </row>
    <row r="28" spans="2:18" x14ac:dyDescent="0.25">
      <c r="B28" s="91">
        <v>41949</v>
      </c>
      <c r="C28" s="61">
        <v>522000000</v>
      </c>
      <c r="E28" s="91">
        <v>41949</v>
      </c>
      <c r="F28" s="61">
        <v>421000000</v>
      </c>
      <c r="H28" s="91">
        <v>42083</v>
      </c>
      <c r="I28" s="61">
        <v>575000000</v>
      </c>
      <c r="K28" s="91">
        <v>42083</v>
      </c>
      <c r="L28" s="61">
        <v>475000000</v>
      </c>
      <c r="N28" s="91">
        <v>42404</v>
      </c>
      <c r="O28" s="61">
        <v>260000000</v>
      </c>
      <c r="Q28" s="91">
        <v>42404</v>
      </c>
      <c r="R28" s="61">
        <v>416000000</v>
      </c>
    </row>
    <row r="29" spans="2:18" x14ac:dyDescent="0.25">
      <c r="B29" s="91">
        <v>41955</v>
      </c>
      <c r="C29" s="61">
        <v>523000000</v>
      </c>
      <c r="E29" s="91">
        <v>41955</v>
      </c>
      <c r="F29" s="61">
        <v>423000000</v>
      </c>
      <c r="H29" s="91">
        <v>42086</v>
      </c>
      <c r="I29" s="61">
        <v>579000000</v>
      </c>
      <c r="K29" s="91">
        <v>42086</v>
      </c>
      <c r="L29" s="61">
        <v>475000000</v>
      </c>
      <c r="N29" s="91">
        <v>42405</v>
      </c>
      <c r="O29" s="61">
        <v>261000000</v>
      </c>
      <c r="Q29" s="91">
        <v>42405</v>
      </c>
      <c r="R29" s="61">
        <v>412000000</v>
      </c>
    </row>
    <row r="30" spans="2:18" x14ac:dyDescent="0.25">
      <c r="B30" s="91">
        <v>41960</v>
      </c>
      <c r="C30" s="61">
        <v>524000000</v>
      </c>
      <c r="E30" s="91">
        <v>41960</v>
      </c>
      <c r="F30" s="61">
        <v>423000000</v>
      </c>
      <c r="H30" s="91">
        <v>42088</v>
      </c>
      <c r="I30" s="61">
        <v>563000000</v>
      </c>
      <c r="K30" s="91">
        <v>42088</v>
      </c>
      <c r="L30" s="61">
        <v>472000000</v>
      </c>
      <c r="N30" s="91">
        <v>42408</v>
      </c>
      <c r="O30" s="61">
        <v>256000000</v>
      </c>
      <c r="Q30" s="91">
        <v>42408</v>
      </c>
      <c r="R30" s="61">
        <v>406000000</v>
      </c>
    </row>
    <row r="31" spans="2:18" x14ac:dyDescent="0.25">
      <c r="B31" s="91">
        <v>41964</v>
      </c>
      <c r="C31" s="61">
        <v>529000000</v>
      </c>
      <c r="E31" s="91">
        <v>41964</v>
      </c>
      <c r="F31" s="61">
        <v>422000000</v>
      </c>
      <c r="H31" s="91">
        <v>42090</v>
      </c>
      <c r="I31" s="61">
        <v>556000000</v>
      </c>
      <c r="K31" s="91">
        <v>42090</v>
      </c>
      <c r="L31" s="61">
        <v>474000000</v>
      </c>
      <c r="N31" s="91">
        <v>42409</v>
      </c>
      <c r="O31" s="61">
        <v>263000000</v>
      </c>
      <c r="Q31" s="91">
        <v>42409</v>
      </c>
      <c r="R31" s="61">
        <v>405000000</v>
      </c>
    </row>
    <row r="32" spans="2:18" x14ac:dyDescent="0.25">
      <c r="B32" s="91">
        <v>41968</v>
      </c>
      <c r="C32" s="61">
        <v>536000000</v>
      </c>
      <c r="E32" s="91">
        <v>41968</v>
      </c>
      <c r="F32" s="61">
        <v>427000000</v>
      </c>
      <c r="H32" s="91">
        <v>42094</v>
      </c>
      <c r="I32" s="61">
        <v>552000000</v>
      </c>
      <c r="K32" s="91">
        <v>42094</v>
      </c>
      <c r="L32" s="61">
        <v>492000000</v>
      </c>
      <c r="N32" s="91">
        <v>42410</v>
      </c>
      <c r="O32" s="61">
        <v>267000000</v>
      </c>
      <c r="Q32" s="91">
        <v>42410</v>
      </c>
      <c r="R32" s="61">
        <v>404000000</v>
      </c>
    </row>
    <row r="33" spans="2:18" x14ac:dyDescent="0.25">
      <c r="B33" s="91">
        <v>41971</v>
      </c>
      <c r="C33" s="61">
        <v>532000000</v>
      </c>
      <c r="E33" s="91">
        <v>41971</v>
      </c>
      <c r="F33" s="61">
        <v>427000000</v>
      </c>
      <c r="H33" s="91">
        <v>42095</v>
      </c>
      <c r="I33" s="61">
        <v>545000000</v>
      </c>
      <c r="K33" s="91">
        <v>42095</v>
      </c>
      <c r="L33" s="61">
        <v>469000000</v>
      </c>
      <c r="N33" s="91">
        <v>42411</v>
      </c>
      <c r="O33" s="61">
        <v>267000000</v>
      </c>
      <c r="Q33" s="91">
        <v>42411</v>
      </c>
      <c r="R33" s="61">
        <v>406000000</v>
      </c>
    </row>
    <row r="34" spans="2:18" x14ac:dyDescent="0.25">
      <c r="B34" s="91">
        <v>41976</v>
      </c>
      <c r="C34" s="61">
        <v>541000000</v>
      </c>
      <c r="E34" s="91">
        <v>41977</v>
      </c>
      <c r="F34" s="61">
        <v>430000000</v>
      </c>
      <c r="H34" s="91">
        <v>42097</v>
      </c>
      <c r="I34" s="61">
        <v>557000000</v>
      </c>
      <c r="K34" s="91">
        <v>42097</v>
      </c>
      <c r="L34" s="61">
        <v>468000000</v>
      </c>
      <c r="N34" s="91">
        <v>42412</v>
      </c>
      <c r="O34" s="61">
        <v>266000000</v>
      </c>
      <c r="Q34" s="91">
        <v>42412</v>
      </c>
      <c r="R34" s="61">
        <v>406000000</v>
      </c>
    </row>
    <row r="35" spans="2:18" x14ac:dyDescent="0.25">
      <c r="B35" s="91">
        <v>41981</v>
      </c>
      <c r="C35" s="61">
        <v>535000000</v>
      </c>
      <c r="E35" s="91">
        <v>41982</v>
      </c>
      <c r="F35" s="61">
        <v>435000000</v>
      </c>
      <c r="H35" s="91">
        <v>42101</v>
      </c>
      <c r="I35" s="61">
        <v>563000000</v>
      </c>
      <c r="K35" s="91">
        <v>42101</v>
      </c>
      <c r="L35" s="61">
        <v>469000000</v>
      </c>
      <c r="N35" s="91">
        <v>42415</v>
      </c>
      <c r="O35" s="61">
        <v>267000000</v>
      </c>
      <c r="Q35" s="91">
        <v>42415</v>
      </c>
      <c r="R35" s="61">
        <v>405000000</v>
      </c>
    </row>
    <row r="36" spans="2:18" x14ac:dyDescent="0.25">
      <c r="B36" s="91">
        <v>41985</v>
      </c>
      <c r="C36" s="61">
        <v>522000000</v>
      </c>
      <c r="E36" s="91">
        <v>41985</v>
      </c>
      <c r="F36" s="61">
        <v>423000000</v>
      </c>
      <c r="H36" s="91">
        <v>42103</v>
      </c>
      <c r="I36" s="61">
        <v>564000000</v>
      </c>
      <c r="K36" s="91">
        <v>42103</v>
      </c>
      <c r="L36" s="61">
        <v>473000000</v>
      </c>
      <c r="N36" s="91">
        <v>42416</v>
      </c>
      <c r="O36" s="61">
        <v>265000000</v>
      </c>
      <c r="Q36" s="91">
        <v>42416</v>
      </c>
      <c r="R36" s="61">
        <v>412000000</v>
      </c>
    </row>
    <row r="37" spans="2:18" x14ac:dyDescent="0.25">
      <c r="B37" s="91">
        <v>41990</v>
      </c>
      <c r="C37" s="61">
        <v>517000000</v>
      </c>
      <c r="E37" s="91">
        <v>41990</v>
      </c>
      <c r="F37" s="61">
        <v>424000000</v>
      </c>
      <c r="H37" s="91">
        <v>42107</v>
      </c>
      <c r="I37" s="61">
        <v>560000000</v>
      </c>
      <c r="K37" s="91">
        <v>42107</v>
      </c>
      <c r="L37" s="61">
        <v>464000000</v>
      </c>
      <c r="N37" s="91">
        <v>42417</v>
      </c>
      <c r="O37" s="61">
        <v>276000000</v>
      </c>
      <c r="Q37" s="91">
        <v>42417</v>
      </c>
      <c r="R37" s="61">
        <v>419000000</v>
      </c>
    </row>
    <row r="38" spans="2:18" x14ac:dyDescent="0.25">
      <c r="B38" s="91">
        <v>41995</v>
      </c>
      <c r="C38" s="61">
        <v>550000000</v>
      </c>
      <c r="E38" s="91">
        <v>41995</v>
      </c>
      <c r="F38" s="61">
        <v>458000000</v>
      </c>
      <c r="H38" s="91">
        <v>42109</v>
      </c>
      <c r="I38" s="61">
        <v>567000000</v>
      </c>
      <c r="K38" s="91">
        <v>42109</v>
      </c>
      <c r="L38" s="61">
        <v>460000000</v>
      </c>
      <c r="N38" s="91">
        <v>42418</v>
      </c>
      <c r="O38" s="61">
        <v>272000000</v>
      </c>
      <c r="Q38" s="91">
        <v>42418</v>
      </c>
      <c r="R38" s="61">
        <v>419000000</v>
      </c>
    </row>
    <row r="39" spans="2:18" x14ac:dyDescent="0.25">
      <c r="B39" s="91">
        <v>41999</v>
      </c>
      <c r="C39" s="61">
        <v>559000000</v>
      </c>
      <c r="E39" s="91">
        <v>41999</v>
      </c>
      <c r="F39" s="61">
        <v>462000000</v>
      </c>
      <c r="H39" s="91">
        <v>42111</v>
      </c>
      <c r="I39" s="61">
        <v>562000000</v>
      </c>
      <c r="K39" s="91">
        <v>42111</v>
      </c>
      <c r="L39" s="61">
        <v>456000000</v>
      </c>
      <c r="N39" s="91">
        <v>42419</v>
      </c>
      <c r="O39" s="61">
        <v>271000000</v>
      </c>
      <c r="Q39" s="91">
        <v>42419</v>
      </c>
      <c r="R39" s="61">
        <v>424000000</v>
      </c>
    </row>
    <row r="40" spans="2:18" x14ac:dyDescent="0.25">
      <c r="B40" s="91">
        <v>42004</v>
      </c>
      <c r="C40" s="61">
        <v>544000000</v>
      </c>
      <c r="E40" s="91">
        <v>42004</v>
      </c>
      <c r="F40" s="61">
        <v>461000000</v>
      </c>
      <c r="H40" s="91">
        <v>42115</v>
      </c>
      <c r="I40" s="61">
        <v>567000000</v>
      </c>
      <c r="K40" s="91">
        <v>42115</v>
      </c>
      <c r="L40" s="61">
        <v>461000000</v>
      </c>
      <c r="N40" s="91">
        <v>42422</v>
      </c>
      <c r="O40" s="61">
        <v>271000000</v>
      </c>
      <c r="Q40" s="91">
        <v>42422</v>
      </c>
      <c r="R40" s="61">
        <v>426000000</v>
      </c>
    </row>
    <row r="41" spans="2:18" x14ac:dyDescent="0.25">
      <c r="H41" s="91">
        <v>42117</v>
      </c>
      <c r="I41" s="61">
        <v>572000000</v>
      </c>
      <c r="K41" s="91">
        <v>42117</v>
      </c>
      <c r="L41" s="61">
        <v>463000000</v>
      </c>
      <c r="N41" s="91">
        <v>42423</v>
      </c>
      <c r="O41" s="61">
        <v>262000000</v>
      </c>
      <c r="Q41" s="91">
        <v>42423</v>
      </c>
      <c r="R41" s="61">
        <v>423000000</v>
      </c>
    </row>
    <row r="42" spans="2:18" x14ac:dyDescent="0.25">
      <c r="H42" s="91">
        <v>42121</v>
      </c>
      <c r="I42" s="61">
        <v>571000000</v>
      </c>
      <c r="K42" s="91">
        <v>42121</v>
      </c>
      <c r="L42" s="61">
        <v>462000000</v>
      </c>
      <c r="N42" s="91">
        <v>42424</v>
      </c>
      <c r="O42" s="61">
        <v>264000000</v>
      </c>
      <c r="Q42" s="91">
        <v>42424</v>
      </c>
      <c r="R42" s="61">
        <v>426000000</v>
      </c>
    </row>
    <row r="43" spans="2:18" x14ac:dyDescent="0.25">
      <c r="H43" s="91">
        <v>42123</v>
      </c>
      <c r="I43" s="61">
        <v>380000000</v>
      </c>
      <c r="K43" s="91">
        <v>42123</v>
      </c>
      <c r="L43" s="61">
        <v>462000000</v>
      </c>
      <c r="N43" s="91">
        <v>42425</v>
      </c>
      <c r="O43" s="61">
        <v>272000000</v>
      </c>
      <c r="Q43" s="91">
        <v>42425</v>
      </c>
      <c r="R43" s="61">
        <v>429000000</v>
      </c>
    </row>
    <row r="44" spans="2:18" x14ac:dyDescent="0.25">
      <c r="H44" s="91">
        <v>42124</v>
      </c>
      <c r="I44" s="61">
        <v>378000000</v>
      </c>
      <c r="K44" s="91">
        <v>42124</v>
      </c>
      <c r="L44" s="61">
        <v>463000000</v>
      </c>
      <c r="N44" s="91">
        <v>42426</v>
      </c>
      <c r="O44" s="61">
        <v>257000000</v>
      </c>
      <c r="Q44" s="91">
        <v>42426</v>
      </c>
      <c r="R44" s="61">
        <v>430000000</v>
      </c>
    </row>
    <row r="45" spans="2:18" x14ac:dyDescent="0.25">
      <c r="H45" s="91">
        <v>42125</v>
      </c>
      <c r="I45" s="61">
        <v>383000000</v>
      </c>
      <c r="K45" s="91">
        <v>42125</v>
      </c>
      <c r="L45" s="61">
        <v>467000000</v>
      </c>
      <c r="N45" s="91">
        <v>42429</v>
      </c>
      <c r="O45" s="61">
        <v>248000000</v>
      </c>
      <c r="Q45" s="91">
        <v>42429</v>
      </c>
      <c r="R45" s="61">
        <v>429000000</v>
      </c>
    </row>
    <row r="46" spans="2:18" x14ac:dyDescent="0.25">
      <c r="H46" s="91">
        <v>42129</v>
      </c>
      <c r="I46" s="61">
        <v>376000000</v>
      </c>
      <c r="K46" s="91">
        <v>42129</v>
      </c>
      <c r="L46" s="61">
        <v>461000000</v>
      </c>
      <c r="N46" s="91">
        <v>42430</v>
      </c>
      <c r="O46" s="61">
        <v>256000000</v>
      </c>
      <c r="Q46" s="91">
        <v>42430</v>
      </c>
      <c r="R46" s="61">
        <v>438000000</v>
      </c>
    </row>
    <row r="47" spans="2:18" x14ac:dyDescent="0.25">
      <c r="H47" s="91">
        <v>42131</v>
      </c>
      <c r="I47" s="61">
        <v>378000000</v>
      </c>
      <c r="K47" s="91">
        <v>42131</v>
      </c>
      <c r="L47" s="61">
        <v>473000000</v>
      </c>
      <c r="N47" s="91">
        <v>42431</v>
      </c>
      <c r="O47" s="61">
        <v>256000000</v>
      </c>
      <c r="Q47" s="91">
        <v>42431</v>
      </c>
      <c r="R47" s="61">
        <v>439000000</v>
      </c>
    </row>
    <row r="48" spans="2:18" x14ac:dyDescent="0.25">
      <c r="H48" s="91">
        <v>42135</v>
      </c>
      <c r="I48" s="61">
        <v>375000000</v>
      </c>
      <c r="K48" s="91">
        <v>42135</v>
      </c>
      <c r="L48" s="61">
        <v>474000000</v>
      </c>
      <c r="N48" s="91">
        <v>42432</v>
      </c>
      <c r="O48" s="61">
        <v>269000000</v>
      </c>
      <c r="Q48" s="91">
        <v>42432</v>
      </c>
      <c r="R48" s="61">
        <v>442000000</v>
      </c>
    </row>
    <row r="49" spans="8:18" x14ac:dyDescent="0.25">
      <c r="H49" s="91">
        <v>42137</v>
      </c>
      <c r="I49" s="61">
        <v>385000000</v>
      </c>
      <c r="K49" s="91">
        <v>42137</v>
      </c>
      <c r="L49" s="61">
        <v>472000000</v>
      </c>
      <c r="N49" s="91">
        <v>42433</v>
      </c>
      <c r="O49" s="61">
        <v>275000000</v>
      </c>
      <c r="Q49" s="91">
        <v>42433</v>
      </c>
      <c r="R49" s="61">
        <v>449000000</v>
      </c>
    </row>
    <row r="50" spans="8:18" x14ac:dyDescent="0.25">
      <c r="H50" s="91">
        <v>42139</v>
      </c>
      <c r="I50" s="61">
        <v>395000000</v>
      </c>
      <c r="K50" s="91">
        <v>42139</v>
      </c>
      <c r="L50" s="61">
        <v>469000000</v>
      </c>
      <c r="N50" s="91">
        <v>42436</v>
      </c>
      <c r="O50" s="61">
        <v>279000000</v>
      </c>
      <c r="Q50" s="91">
        <v>42436</v>
      </c>
      <c r="R50" s="61">
        <v>450000000</v>
      </c>
    </row>
    <row r="51" spans="8:18" x14ac:dyDescent="0.25">
      <c r="H51" s="91">
        <v>42143</v>
      </c>
      <c r="I51" s="61">
        <v>387000000</v>
      </c>
      <c r="K51" s="91">
        <v>42143</v>
      </c>
      <c r="L51" s="61">
        <v>468000000</v>
      </c>
      <c r="N51" s="91">
        <v>42437</v>
      </c>
      <c r="O51" s="61">
        <v>277000000</v>
      </c>
      <c r="Q51" s="91">
        <v>42437</v>
      </c>
      <c r="R51" s="61">
        <v>450000000</v>
      </c>
    </row>
    <row r="52" spans="8:18" x14ac:dyDescent="0.25">
      <c r="H52" s="91">
        <v>42145</v>
      </c>
      <c r="I52" s="61">
        <v>384000000</v>
      </c>
      <c r="K52" s="91">
        <v>42145</v>
      </c>
      <c r="L52" s="61">
        <v>473000000</v>
      </c>
      <c r="N52" s="91">
        <v>42438</v>
      </c>
      <c r="O52" s="61">
        <v>280000000</v>
      </c>
      <c r="Q52" s="91">
        <v>42438</v>
      </c>
      <c r="R52" s="61">
        <v>450000000</v>
      </c>
    </row>
    <row r="53" spans="8:18" x14ac:dyDescent="0.25">
      <c r="H53" s="91">
        <v>42149</v>
      </c>
      <c r="I53" s="61">
        <v>375000000</v>
      </c>
      <c r="K53" s="91">
        <v>42149</v>
      </c>
      <c r="L53" s="61">
        <v>473000000</v>
      </c>
      <c r="N53" s="91">
        <v>42439</v>
      </c>
      <c r="O53" s="61">
        <v>309000000</v>
      </c>
      <c r="Q53" s="91">
        <v>42439</v>
      </c>
      <c r="R53" s="61">
        <v>450000000</v>
      </c>
    </row>
    <row r="54" spans="8:18" x14ac:dyDescent="0.25">
      <c r="H54" s="91">
        <v>42151</v>
      </c>
      <c r="I54" s="61">
        <v>384000000</v>
      </c>
      <c r="K54" s="91">
        <v>42151</v>
      </c>
      <c r="L54" s="61">
        <v>475000000</v>
      </c>
      <c r="N54" s="91">
        <v>42440</v>
      </c>
      <c r="O54" s="61">
        <v>309000000</v>
      </c>
      <c r="Q54" s="91">
        <v>42440</v>
      </c>
      <c r="R54" s="61">
        <v>452000000</v>
      </c>
    </row>
    <row r="55" spans="8:18" x14ac:dyDescent="0.25">
      <c r="H55" s="91">
        <v>42153</v>
      </c>
      <c r="I55" s="61">
        <v>375000000</v>
      </c>
      <c r="K55" s="91">
        <v>42153</v>
      </c>
      <c r="L55" s="61">
        <v>473000000</v>
      </c>
      <c r="N55" s="91">
        <v>42443</v>
      </c>
      <c r="O55" s="61">
        <v>300000000</v>
      </c>
      <c r="Q55" s="91">
        <v>42443</v>
      </c>
      <c r="R55" s="61">
        <v>451000000</v>
      </c>
    </row>
    <row r="56" spans="8:18" x14ac:dyDescent="0.25">
      <c r="H56" s="91">
        <v>42156</v>
      </c>
      <c r="I56" s="61">
        <v>375000000</v>
      </c>
      <c r="K56" s="91">
        <v>42156</v>
      </c>
      <c r="L56" s="61">
        <v>485000000</v>
      </c>
      <c r="N56" s="91">
        <v>42444</v>
      </c>
      <c r="O56" s="61">
        <v>296000000</v>
      </c>
      <c r="Q56" s="91">
        <v>42444</v>
      </c>
      <c r="R56" s="61">
        <v>451000000</v>
      </c>
    </row>
    <row r="57" spans="8:18" x14ac:dyDescent="0.25">
      <c r="H57" s="91">
        <v>42158</v>
      </c>
      <c r="I57" s="61">
        <v>400000000</v>
      </c>
      <c r="K57" s="91">
        <v>42158</v>
      </c>
      <c r="L57" s="61">
        <v>481000000</v>
      </c>
      <c r="N57" s="91">
        <v>42445</v>
      </c>
      <c r="O57" s="61">
        <v>305000000</v>
      </c>
      <c r="Q57" s="91">
        <v>42445</v>
      </c>
      <c r="R57" s="61">
        <v>452000000</v>
      </c>
    </row>
    <row r="58" spans="8:18" x14ac:dyDescent="0.25">
      <c r="H58" s="91">
        <v>42160</v>
      </c>
      <c r="I58" s="61">
        <v>402000000</v>
      </c>
      <c r="K58" s="91">
        <v>42160</v>
      </c>
      <c r="L58" s="61">
        <v>485000000</v>
      </c>
      <c r="N58" s="91">
        <v>42446</v>
      </c>
      <c r="O58" s="61">
        <v>315000000</v>
      </c>
      <c r="Q58" s="91">
        <v>42446</v>
      </c>
      <c r="R58" s="61">
        <v>457000000</v>
      </c>
    </row>
    <row r="59" spans="8:18" x14ac:dyDescent="0.25">
      <c r="H59" s="91">
        <v>42163</v>
      </c>
      <c r="I59" s="61">
        <v>403000000</v>
      </c>
      <c r="K59" s="91">
        <v>42163</v>
      </c>
      <c r="L59" s="61">
        <v>484000000</v>
      </c>
      <c r="N59" s="91">
        <v>42447</v>
      </c>
      <c r="O59" s="61">
        <v>310000000</v>
      </c>
      <c r="Q59" s="91">
        <v>42447</v>
      </c>
      <c r="R59" s="61">
        <v>458000000</v>
      </c>
    </row>
    <row r="60" spans="8:18" x14ac:dyDescent="0.25">
      <c r="H60" s="91">
        <v>42165</v>
      </c>
      <c r="I60" s="61">
        <v>412000000</v>
      </c>
      <c r="K60" s="91">
        <v>42165</v>
      </c>
      <c r="L60" s="61">
        <v>486000000</v>
      </c>
      <c r="N60" s="91">
        <v>42450</v>
      </c>
      <c r="O60" s="61">
        <v>312000000</v>
      </c>
      <c r="Q60" s="91">
        <v>42450</v>
      </c>
      <c r="R60" s="61">
        <v>460000000</v>
      </c>
    </row>
    <row r="61" spans="8:18" x14ac:dyDescent="0.25">
      <c r="H61" s="91">
        <v>42167</v>
      </c>
      <c r="I61" s="61">
        <v>404000000</v>
      </c>
      <c r="K61" s="91">
        <v>42167</v>
      </c>
      <c r="L61" s="61">
        <v>484000000</v>
      </c>
      <c r="N61" s="91">
        <v>42451</v>
      </c>
      <c r="O61" s="61">
        <v>323000000</v>
      </c>
      <c r="Q61" s="91">
        <v>42451</v>
      </c>
      <c r="R61" s="61">
        <v>458000000</v>
      </c>
    </row>
    <row r="62" spans="8:18" x14ac:dyDescent="0.25">
      <c r="H62" s="91">
        <v>42171</v>
      </c>
      <c r="I62" s="61">
        <v>397000000</v>
      </c>
      <c r="K62" s="91">
        <v>42171</v>
      </c>
      <c r="L62" s="61">
        <v>501000000</v>
      </c>
      <c r="N62" s="91">
        <v>42452</v>
      </c>
      <c r="O62" s="61">
        <v>301000000</v>
      </c>
      <c r="Q62" s="91">
        <v>42452</v>
      </c>
      <c r="R62" s="61">
        <v>457000000</v>
      </c>
    </row>
    <row r="63" spans="8:18" x14ac:dyDescent="0.25">
      <c r="H63" s="91">
        <v>42173</v>
      </c>
      <c r="I63" s="61">
        <v>407000000</v>
      </c>
      <c r="K63" s="91">
        <v>42173</v>
      </c>
      <c r="L63" s="61">
        <v>497000000</v>
      </c>
      <c r="N63" s="91">
        <v>42453</v>
      </c>
      <c r="O63" s="61">
        <v>302000000</v>
      </c>
      <c r="Q63" s="91">
        <v>42453</v>
      </c>
      <c r="R63" s="61">
        <v>457000000</v>
      </c>
    </row>
    <row r="64" spans="8:18" x14ac:dyDescent="0.25">
      <c r="H64" s="91">
        <v>42177</v>
      </c>
      <c r="I64" s="61">
        <v>403000000</v>
      </c>
      <c r="K64" s="91">
        <v>42177</v>
      </c>
      <c r="L64" s="61">
        <v>496000000</v>
      </c>
      <c r="N64" s="91">
        <v>42454</v>
      </c>
      <c r="O64" s="61">
        <v>294000000</v>
      </c>
      <c r="Q64" s="91">
        <v>42454</v>
      </c>
      <c r="R64" s="61">
        <v>457000000</v>
      </c>
    </row>
    <row r="65" spans="8:18" x14ac:dyDescent="0.25">
      <c r="H65" s="91">
        <v>42179</v>
      </c>
      <c r="I65" s="61">
        <v>412000000</v>
      </c>
      <c r="K65" s="91">
        <v>42179</v>
      </c>
      <c r="L65" s="61">
        <v>479000000</v>
      </c>
      <c r="N65" s="91">
        <v>42457</v>
      </c>
      <c r="O65" s="61">
        <v>294000000</v>
      </c>
      <c r="Q65" s="91">
        <v>42457</v>
      </c>
      <c r="R65" s="61">
        <v>457000000</v>
      </c>
    </row>
    <row r="66" spans="8:18" x14ac:dyDescent="0.25">
      <c r="H66" s="91">
        <v>42181</v>
      </c>
      <c r="I66" s="61">
        <v>367000000</v>
      </c>
      <c r="K66" s="91">
        <v>42181</v>
      </c>
      <c r="L66" s="61">
        <v>487000000</v>
      </c>
      <c r="N66" s="91">
        <v>42458</v>
      </c>
      <c r="O66" s="61">
        <v>312000000</v>
      </c>
      <c r="Q66" s="91">
        <v>42458</v>
      </c>
      <c r="R66" s="61">
        <v>458000000</v>
      </c>
    </row>
    <row r="67" spans="8:18" x14ac:dyDescent="0.25">
      <c r="H67" s="91">
        <v>42185</v>
      </c>
      <c r="I67" s="61">
        <v>354000000</v>
      </c>
      <c r="K67" s="91">
        <v>42185</v>
      </c>
      <c r="L67" s="61">
        <v>479000000</v>
      </c>
      <c r="N67" s="91">
        <v>42459</v>
      </c>
      <c r="O67" s="61">
        <v>308000000</v>
      </c>
      <c r="Q67" s="91">
        <v>42459</v>
      </c>
      <c r="R67" s="61">
        <v>458000000</v>
      </c>
    </row>
    <row r="68" spans="8:18" x14ac:dyDescent="0.25">
      <c r="H68" s="91">
        <v>42186</v>
      </c>
      <c r="I68" s="61">
        <v>358000000</v>
      </c>
      <c r="K68" s="91">
        <v>42186</v>
      </c>
      <c r="L68" s="61">
        <v>494000000</v>
      </c>
      <c r="N68" s="91">
        <v>42460</v>
      </c>
      <c r="O68" s="61">
        <v>311000000</v>
      </c>
      <c r="Q68" s="91">
        <v>42460</v>
      </c>
      <c r="R68" s="61">
        <v>459000000</v>
      </c>
    </row>
    <row r="69" spans="8:18" x14ac:dyDescent="0.25">
      <c r="H69" s="91">
        <v>42188</v>
      </c>
      <c r="I69" s="61">
        <v>355000000</v>
      </c>
      <c r="K69" s="91">
        <v>42188</v>
      </c>
      <c r="L69" s="61">
        <v>480000000</v>
      </c>
      <c r="N69" s="91">
        <v>42461</v>
      </c>
      <c r="O69" s="61">
        <v>315</v>
      </c>
      <c r="Q69" s="91">
        <v>42461</v>
      </c>
      <c r="R69" s="61">
        <v>458</v>
      </c>
    </row>
    <row r="70" spans="8:18" x14ac:dyDescent="0.25">
      <c r="H70" s="91">
        <v>42191</v>
      </c>
      <c r="I70" s="61">
        <v>348000000</v>
      </c>
      <c r="K70" s="91">
        <v>42191</v>
      </c>
      <c r="L70" s="61">
        <v>475000000</v>
      </c>
      <c r="N70" s="91">
        <v>42464</v>
      </c>
      <c r="O70" s="92">
        <f>457-149</f>
        <v>308</v>
      </c>
      <c r="Q70" s="91">
        <v>42464</v>
      </c>
      <c r="R70" s="61">
        <v>459</v>
      </c>
    </row>
    <row r="71" spans="8:18" x14ac:dyDescent="0.25">
      <c r="H71" s="91">
        <v>42193</v>
      </c>
      <c r="I71" s="61">
        <v>342000000</v>
      </c>
      <c r="K71" s="91">
        <v>42193</v>
      </c>
      <c r="L71" s="61">
        <v>468000000</v>
      </c>
      <c r="N71" s="91">
        <v>42465</v>
      </c>
      <c r="O71" s="61">
        <v>296</v>
      </c>
      <c r="Q71" s="91">
        <v>42465</v>
      </c>
      <c r="R71" s="61">
        <v>455</v>
      </c>
    </row>
    <row r="72" spans="8:18" x14ac:dyDescent="0.25">
      <c r="H72" s="91">
        <v>42195</v>
      </c>
      <c r="I72" s="61">
        <v>362000000</v>
      </c>
      <c r="K72" s="91">
        <v>42195</v>
      </c>
      <c r="L72" s="61">
        <v>481000000</v>
      </c>
      <c r="N72" s="91">
        <v>42466</v>
      </c>
      <c r="O72" s="61">
        <v>305</v>
      </c>
      <c r="Q72" s="91">
        <v>42466</v>
      </c>
      <c r="R72" s="61">
        <v>456</v>
      </c>
    </row>
    <row r="73" spans="8:18" x14ac:dyDescent="0.25">
      <c r="H73" s="91">
        <v>42198</v>
      </c>
      <c r="I73" s="61">
        <v>363000000</v>
      </c>
      <c r="K73" s="91">
        <v>42198</v>
      </c>
      <c r="L73" s="61">
        <v>485000000</v>
      </c>
      <c r="N73" s="91">
        <v>42467</v>
      </c>
      <c r="O73" s="61">
        <v>290</v>
      </c>
      <c r="Q73" s="91">
        <v>42467</v>
      </c>
      <c r="R73" s="61">
        <v>456</v>
      </c>
    </row>
    <row r="74" spans="8:18" x14ac:dyDescent="0.25">
      <c r="H74" s="91">
        <v>42200</v>
      </c>
      <c r="I74" s="61">
        <v>359000000</v>
      </c>
      <c r="K74" s="91">
        <v>42200</v>
      </c>
      <c r="L74" s="61">
        <v>487000000</v>
      </c>
      <c r="N74" s="91">
        <v>42468</v>
      </c>
      <c r="O74" s="61">
        <v>299</v>
      </c>
      <c r="Q74" s="91">
        <v>42468</v>
      </c>
      <c r="R74" s="61">
        <v>456</v>
      </c>
    </row>
    <row r="75" spans="8:18" x14ac:dyDescent="0.25">
      <c r="H75" s="91">
        <v>42202</v>
      </c>
      <c r="I75" s="61">
        <v>359000000</v>
      </c>
      <c r="K75" s="91">
        <v>42202</v>
      </c>
      <c r="L75" s="61">
        <v>486000000</v>
      </c>
      <c r="N75" s="91">
        <v>42471</v>
      </c>
      <c r="O75" s="61">
        <v>299</v>
      </c>
      <c r="Q75" s="91">
        <v>42471</v>
      </c>
      <c r="R75" s="61">
        <v>456</v>
      </c>
    </row>
    <row r="76" spans="8:18" x14ac:dyDescent="0.25">
      <c r="H76" s="91">
        <v>42205</v>
      </c>
      <c r="I76" s="61">
        <v>357000000</v>
      </c>
      <c r="K76" s="91">
        <v>42205</v>
      </c>
      <c r="L76" s="61">
        <v>486000000</v>
      </c>
      <c r="N76" s="91">
        <v>42472</v>
      </c>
      <c r="O76" s="61">
        <v>301</v>
      </c>
      <c r="Q76" s="91">
        <v>42472</v>
      </c>
      <c r="R76" s="61">
        <v>457</v>
      </c>
    </row>
    <row r="77" spans="8:18" x14ac:dyDescent="0.25">
      <c r="H77" s="91">
        <v>42207</v>
      </c>
      <c r="I77" s="61">
        <v>357000000</v>
      </c>
      <c r="K77" s="91">
        <v>42207</v>
      </c>
      <c r="L77" s="61">
        <v>487000000</v>
      </c>
      <c r="N77" s="91">
        <v>42473</v>
      </c>
      <c r="O77" s="61">
        <v>301</v>
      </c>
      <c r="Q77" s="91">
        <v>42473</v>
      </c>
      <c r="R77" s="61">
        <v>458</v>
      </c>
    </row>
    <row r="78" spans="8:18" x14ac:dyDescent="0.25">
      <c r="H78" s="91">
        <v>42209</v>
      </c>
      <c r="I78" s="61">
        <v>348000000</v>
      </c>
      <c r="K78" s="91">
        <v>42209</v>
      </c>
      <c r="L78" s="61">
        <v>487000000</v>
      </c>
      <c r="N78" s="91">
        <v>42474</v>
      </c>
      <c r="O78" s="61">
        <v>298</v>
      </c>
      <c r="Q78" s="91">
        <v>42474</v>
      </c>
      <c r="R78" s="61">
        <v>456</v>
      </c>
    </row>
    <row r="79" spans="8:18" x14ac:dyDescent="0.25">
      <c r="H79" s="91">
        <v>42212</v>
      </c>
      <c r="I79" s="61">
        <v>349000000</v>
      </c>
      <c r="K79" s="91">
        <v>42212</v>
      </c>
      <c r="L79" s="61">
        <v>484000000</v>
      </c>
      <c r="N79" s="91">
        <v>42475</v>
      </c>
      <c r="O79" s="61">
        <v>298</v>
      </c>
      <c r="Q79" s="91">
        <v>42475</v>
      </c>
      <c r="R79" s="61">
        <v>456</v>
      </c>
    </row>
    <row r="80" spans="8:18" x14ac:dyDescent="0.25">
      <c r="H80" s="91">
        <v>42214</v>
      </c>
      <c r="I80" s="61">
        <v>354000000</v>
      </c>
      <c r="K80" s="91">
        <v>42214</v>
      </c>
      <c r="L80" s="61">
        <v>484000000</v>
      </c>
      <c r="N80" s="91">
        <v>42478</v>
      </c>
      <c r="O80" s="61">
        <v>313</v>
      </c>
      <c r="Q80" s="91">
        <v>42478</v>
      </c>
      <c r="R80" s="61">
        <v>458</v>
      </c>
    </row>
    <row r="81" spans="8:18" x14ac:dyDescent="0.25">
      <c r="H81" s="91">
        <v>42216</v>
      </c>
      <c r="I81" s="61">
        <v>344000000</v>
      </c>
      <c r="K81" s="91">
        <v>42216</v>
      </c>
      <c r="L81" s="61">
        <v>482000000</v>
      </c>
      <c r="N81" s="91">
        <v>42479</v>
      </c>
      <c r="O81" s="61">
        <v>325</v>
      </c>
      <c r="Q81" s="91">
        <v>42479</v>
      </c>
      <c r="R81" s="61">
        <v>458</v>
      </c>
    </row>
    <row r="82" spans="8:18" x14ac:dyDescent="0.25">
      <c r="H82" s="91">
        <v>42219</v>
      </c>
      <c r="I82" s="61">
        <v>339000000</v>
      </c>
      <c r="K82" s="91">
        <v>42219</v>
      </c>
      <c r="L82" s="61">
        <v>484000000</v>
      </c>
      <c r="N82" s="91">
        <v>42480</v>
      </c>
      <c r="O82" s="61">
        <v>331</v>
      </c>
      <c r="Q82" s="91">
        <v>42480</v>
      </c>
      <c r="R82" s="61">
        <v>458</v>
      </c>
    </row>
    <row r="83" spans="8:18" x14ac:dyDescent="0.25">
      <c r="H83" s="91">
        <v>42221</v>
      </c>
      <c r="I83" s="61">
        <v>337000000</v>
      </c>
      <c r="K83" s="91">
        <v>42221</v>
      </c>
      <c r="L83" s="61">
        <v>490000000</v>
      </c>
      <c r="N83" s="91">
        <v>42481</v>
      </c>
      <c r="O83" s="61">
        <v>314</v>
      </c>
      <c r="Q83" s="91">
        <v>42481</v>
      </c>
      <c r="R83" s="61">
        <v>458</v>
      </c>
    </row>
    <row r="84" spans="8:18" x14ac:dyDescent="0.25">
      <c r="H84" s="91">
        <v>42223</v>
      </c>
      <c r="I84" s="61">
        <v>332000000</v>
      </c>
      <c r="K84" s="91">
        <v>42223</v>
      </c>
      <c r="L84" s="61">
        <v>486000000</v>
      </c>
      <c r="N84" s="91">
        <v>42482</v>
      </c>
      <c r="O84" s="61">
        <v>296</v>
      </c>
      <c r="Q84" s="91">
        <v>42482</v>
      </c>
      <c r="R84" s="61">
        <v>459</v>
      </c>
    </row>
    <row r="85" spans="8:18" x14ac:dyDescent="0.25">
      <c r="H85" s="91">
        <v>42226</v>
      </c>
      <c r="I85" s="61">
        <v>346000000</v>
      </c>
      <c r="K85" s="91">
        <v>42226</v>
      </c>
      <c r="L85" s="61">
        <v>486000000</v>
      </c>
      <c r="N85" s="91">
        <v>42485</v>
      </c>
      <c r="O85" s="61">
        <v>301</v>
      </c>
      <c r="Q85" s="91">
        <v>42485</v>
      </c>
      <c r="R85" s="61">
        <v>459</v>
      </c>
    </row>
    <row r="86" spans="8:18" x14ac:dyDescent="0.25">
      <c r="H86" s="91">
        <v>42228</v>
      </c>
      <c r="I86" s="61">
        <v>348000000</v>
      </c>
      <c r="K86" s="91">
        <v>42228</v>
      </c>
      <c r="L86" s="61">
        <v>485000000</v>
      </c>
      <c r="N86" s="91">
        <v>42486</v>
      </c>
      <c r="O86" s="61">
        <v>301</v>
      </c>
      <c r="Q86" s="91">
        <v>42486</v>
      </c>
      <c r="R86" s="61">
        <v>459</v>
      </c>
    </row>
    <row r="87" spans="8:18" x14ac:dyDescent="0.25">
      <c r="H87" s="91">
        <v>42230</v>
      </c>
      <c r="I87" s="61">
        <v>343000000</v>
      </c>
      <c r="K87" s="91">
        <v>42230</v>
      </c>
      <c r="L87" s="61">
        <v>485000000</v>
      </c>
      <c r="N87" s="91">
        <v>42487</v>
      </c>
      <c r="O87" s="61">
        <v>300</v>
      </c>
      <c r="Q87" s="91">
        <v>42487</v>
      </c>
      <c r="R87" s="61">
        <v>459</v>
      </c>
    </row>
    <row r="88" spans="8:18" x14ac:dyDescent="0.25">
      <c r="H88" s="91">
        <v>42233</v>
      </c>
      <c r="I88" s="61">
        <v>336000000</v>
      </c>
      <c r="K88" s="91">
        <v>42233</v>
      </c>
      <c r="L88" s="61">
        <v>482000000</v>
      </c>
      <c r="N88" s="91">
        <v>42488</v>
      </c>
      <c r="O88" s="61">
        <v>294</v>
      </c>
      <c r="Q88" s="91">
        <v>42488</v>
      </c>
      <c r="R88" s="61">
        <v>458</v>
      </c>
    </row>
    <row r="89" spans="8:18" x14ac:dyDescent="0.25">
      <c r="H89" s="91">
        <v>42235</v>
      </c>
      <c r="I89" s="61">
        <v>332000000</v>
      </c>
      <c r="K89" s="91">
        <v>42235</v>
      </c>
      <c r="L89" s="61">
        <v>480000000</v>
      </c>
      <c r="N89" s="91">
        <v>42489</v>
      </c>
      <c r="O89" s="61">
        <v>304</v>
      </c>
      <c r="Q89" s="91">
        <v>42489</v>
      </c>
      <c r="R89" s="61">
        <v>458</v>
      </c>
    </row>
    <row r="90" spans="8:18" x14ac:dyDescent="0.25">
      <c r="H90" s="91">
        <v>42237</v>
      </c>
      <c r="I90" s="61">
        <v>326000000</v>
      </c>
      <c r="K90" s="91">
        <v>42237</v>
      </c>
      <c r="L90" s="61">
        <v>477000000</v>
      </c>
      <c r="N90" s="91">
        <v>42492</v>
      </c>
      <c r="O90" s="61">
        <v>317</v>
      </c>
      <c r="Q90" s="91">
        <v>42492</v>
      </c>
      <c r="R90" s="61">
        <v>459</v>
      </c>
    </row>
    <row r="91" spans="8:18" x14ac:dyDescent="0.25">
      <c r="H91" s="91">
        <v>42240</v>
      </c>
      <c r="I91" s="61">
        <v>316000000</v>
      </c>
      <c r="K91" s="91">
        <v>42240</v>
      </c>
      <c r="L91" s="61">
        <v>469000000</v>
      </c>
      <c r="N91" s="91">
        <v>42493</v>
      </c>
      <c r="O91" s="61">
        <v>307</v>
      </c>
      <c r="Q91" s="91">
        <v>42493</v>
      </c>
      <c r="R91" s="61">
        <v>459</v>
      </c>
    </row>
    <row r="92" spans="8:18" x14ac:dyDescent="0.25">
      <c r="H92" s="91">
        <v>42241</v>
      </c>
      <c r="I92" s="61">
        <v>312000000</v>
      </c>
      <c r="K92" s="91">
        <v>42241</v>
      </c>
      <c r="L92" s="61">
        <v>473000000</v>
      </c>
      <c r="N92" s="91">
        <v>42494</v>
      </c>
      <c r="O92" s="61">
        <v>302</v>
      </c>
      <c r="Q92" s="91">
        <v>42494</v>
      </c>
      <c r="R92" s="61">
        <v>458</v>
      </c>
    </row>
    <row r="93" spans="8:18" x14ac:dyDescent="0.25">
      <c r="H93" s="91">
        <v>42242</v>
      </c>
      <c r="I93" s="61">
        <v>327000000</v>
      </c>
      <c r="K93" s="91">
        <v>42242</v>
      </c>
      <c r="L93" s="61">
        <v>470000000</v>
      </c>
      <c r="N93" s="91">
        <v>42495</v>
      </c>
      <c r="O93" s="61">
        <v>285</v>
      </c>
      <c r="Q93" s="91">
        <v>42495</v>
      </c>
      <c r="R93" s="61">
        <v>458</v>
      </c>
    </row>
    <row r="94" spans="8:18" x14ac:dyDescent="0.25">
      <c r="H94" s="91">
        <v>42244</v>
      </c>
      <c r="I94" s="61">
        <v>320000000</v>
      </c>
      <c r="K94" s="91">
        <v>42244</v>
      </c>
      <c r="L94" s="61">
        <v>470000000</v>
      </c>
      <c r="N94" s="91">
        <v>42496</v>
      </c>
      <c r="O94" s="61">
        <v>297</v>
      </c>
      <c r="Q94" s="91">
        <v>42496</v>
      </c>
      <c r="R94" s="61">
        <v>457</v>
      </c>
    </row>
    <row r="95" spans="8:18" x14ac:dyDescent="0.25">
      <c r="H95" s="91">
        <v>42247</v>
      </c>
      <c r="I95" s="61">
        <v>321000000</v>
      </c>
      <c r="K95" s="91">
        <v>42247</v>
      </c>
      <c r="L95" s="61">
        <v>474000000</v>
      </c>
      <c r="N95" s="91">
        <v>42499</v>
      </c>
      <c r="O95" s="61">
        <v>301</v>
      </c>
      <c r="Q95" s="91">
        <v>42499</v>
      </c>
      <c r="R95" s="61">
        <v>458</v>
      </c>
    </row>
    <row r="96" spans="8:18" x14ac:dyDescent="0.25">
      <c r="H96" s="91">
        <v>42248</v>
      </c>
      <c r="I96" s="61">
        <v>318000000</v>
      </c>
      <c r="K96" s="91">
        <v>42248</v>
      </c>
      <c r="L96" s="61">
        <v>472000000</v>
      </c>
      <c r="N96" s="91">
        <v>42500</v>
      </c>
      <c r="O96" s="61">
        <v>309</v>
      </c>
      <c r="Q96" s="91">
        <v>42500</v>
      </c>
      <c r="R96" s="61">
        <v>459</v>
      </c>
    </row>
    <row r="97" spans="8:18" x14ac:dyDescent="0.25">
      <c r="H97" s="91">
        <v>42250</v>
      </c>
      <c r="I97" s="61">
        <v>299000000</v>
      </c>
      <c r="K97" s="91">
        <v>42250</v>
      </c>
      <c r="L97" s="61">
        <v>472000000</v>
      </c>
      <c r="N97" s="91">
        <v>42501</v>
      </c>
      <c r="O97" s="61">
        <v>305</v>
      </c>
      <c r="Q97" s="91">
        <v>42501</v>
      </c>
      <c r="R97" s="61">
        <v>458</v>
      </c>
    </row>
    <row r="98" spans="8:18" x14ac:dyDescent="0.25">
      <c r="H98" s="91">
        <v>42251</v>
      </c>
      <c r="I98" s="61">
        <v>293000000</v>
      </c>
      <c r="K98" s="91">
        <v>42251</v>
      </c>
      <c r="L98" s="61">
        <v>481000000</v>
      </c>
      <c r="N98" s="91">
        <v>42502</v>
      </c>
      <c r="O98" s="61">
        <v>303</v>
      </c>
      <c r="Q98" s="91">
        <v>42502</v>
      </c>
      <c r="R98" s="61">
        <v>458</v>
      </c>
    </row>
    <row r="99" spans="8:18" x14ac:dyDescent="0.25">
      <c r="H99" s="91">
        <v>42256</v>
      </c>
      <c r="I99" s="61">
        <v>300000000</v>
      </c>
      <c r="K99" s="91">
        <v>42256</v>
      </c>
      <c r="L99" s="61">
        <v>470000000</v>
      </c>
      <c r="N99" s="91">
        <v>42503</v>
      </c>
      <c r="O99" s="61">
        <v>298</v>
      </c>
      <c r="Q99" s="91">
        <v>42503</v>
      </c>
      <c r="R99" s="61">
        <v>456</v>
      </c>
    </row>
    <row r="100" spans="8:18" x14ac:dyDescent="0.25">
      <c r="H100" s="91">
        <v>42258</v>
      </c>
      <c r="I100" s="61">
        <v>308000000</v>
      </c>
      <c r="K100" s="91">
        <v>42258</v>
      </c>
      <c r="L100" s="61">
        <v>465000000</v>
      </c>
      <c r="N100" s="91">
        <v>42506</v>
      </c>
      <c r="O100" s="61">
        <v>306</v>
      </c>
      <c r="Q100" s="91">
        <v>42506</v>
      </c>
      <c r="R100" s="61">
        <v>457</v>
      </c>
    </row>
    <row r="101" spans="8:18" x14ac:dyDescent="0.25">
      <c r="H101" s="91">
        <v>42261</v>
      </c>
      <c r="I101" s="61">
        <v>291000000</v>
      </c>
      <c r="K101" s="91">
        <v>42261</v>
      </c>
      <c r="L101" s="61">
        <v>470000000</v>
      </c>
      <c r="N101" s="91">
        <v>42507</v>
      </c>
      <c r="O101" s="61">
        <v>304</v>
      </c>
      <c r="Q101" s="91">
        <v>42507</v>
      </c>
      <c r="R101" s="61">
        <v>454</v>
      </c>
    </row>
    <row r="102" spans="8:18" x14ac:dyDescent="0.25">
      <c r="H102" s="91">
        <v>42263</v>
      </c>
      <c r="I102" s="61">
        <v>320000000</v>
      </c>
      <c r="K102" s="91">
        <v>42263</v>
      </c>
      <c r="L102" s="61">
        <v>476000000</v>
      </c>
      <c r="N102" s="91">
        <v>42508</v>
      </c>
      <c r="O102" s="61">
        <v>300</v>
      </c>
      <c r="Q102" s="91">
        <v>42508</v>
      </c>
      <c r="R102" s="61">
        <v>454</v>
      </c>
    </row>
    <row r="103" spans="8:18" x14ac:dyDescent="0.25">
      <c r="H103" s="91">
        <v>42265</v>
      </c>
      <c r="I103" s="61">
        <v>312000000</v>
      </c>
      <c r="K103" s="91">
        <v>42265</v>
      </c>
      <c r="L103" s="61">
        <v>472000000</v>
      </c>
      <c r="N103" s="91">
        <v>42509</v>
      </c>
      <c r="O103" s="61">
        <v>292</v>
      </c>
      <c r="Q103" s="91">
        <v>42509</v>
      </c>
      <c r="R103" s="61">
        <v>454</v>
      </c>
    </row>
    <row r="104" spans="8:18" x14ac:dyDescent="0.25">
      <c r="H104" s="91">
        <v>42268</v>
      </c>
      <c r="I104" s="61">
        <v>302000000</v>
      </c>
      <c r="K104" s="91">
        <v>42268</v>
      </c>
      <c r="L104" s="61">
        <v>473000000</v>
      </c>
    </row>
    <row r="105" spans="8:18" x14ac:dyDescent="0.25">
      <c r="H105" s="91">
        <v>42270</v>
      </c>
      <c r="I105" s="61">
        <v>294000000</v>
      </c>
      <c r="K105" s="91">
        <v>42270</v>
      </c>
      <c r="L105" s="61">
        <v>471000000</v>
      </c>
    </row>
    <row r="106" spans="8:18" x14ac:dyDescent="0.25">
      <c r="H106" s="91">
        <v>42271</v>
      </c>
      <c r="I106" s="61">
        <v>293000000</v>
      </c>
      <c r="K106" s="91">
        <v>42271</v>
      </c>
      <c r="L106" s="61">
        <v>469000000</v>
      </c>
    </row>
    <row r="107" spans="8:18" x14ac:dyDescent="0.25">
      <c r="H107" s="91">
        <v>42272</v>
      </c>
      <c r="I107" s="61">
        <v>291000000</v>
      </c>
      <c r="K107" s="91">
        <v>42272</v>
      </c>
      <c r="L107" s="61">
        <v>470000000</v>
      </c>
    </row>
    <row r="108" spans="8:18" x14ac:dyDescent="0.25">
      <c r="H108" s="91">
        <v>42275</v>
      </c>
      <c r="I108" s="61">
        <v>280000000</v>
      </c>
      <c r="K108" s="91">
        <v>42275</v>
      </c>
      <c r="L108" s="61">
        <v>470000000</v>
      </c>
    </row>
    <row r="109" spans="8:18" x14ac:dyDescent="0.25">
      <c r="H109" s="91">
        <v>42277</v>
      </c>
      <c r="I109" s="61">
        <v>289000000</v>
      </c>
      <c r="K109" s="91">
        <v>42277</v>
      </c>
      <c r="L109" s="61">
        <v>467000000</v>
      </c>
    </row>
    <row r="110" spans="8:18" x14ac:dyDescent="0.25">
      <c r="H110" s="91">
        <v>42278</v>
      </c>
      <c r="I110" s="61">
        <v>288000000</v>
      </c>
      <c r="K110" s="91">
        <v>42278</v>
      </c>
      <c r="L110" s="61">
        <v>467000000</v>
      </c>
    </row>
    <row r="111" spans="8:18" x14ac:dyDescent="0.25">
      <c r="H111" s="91">
        <v>42279</v>
      </c>
      <c r="I111" s="61">
        <v>297000000</v>
      </c>
      <c r="K111" s="91">
        <v>42279</v>
      </c>
      <c r="L111" s="61">
        <v>466000000</v>
      </c>
    </row>
    <row r="112" spans="8:18" x14ac:dyDescent="0.25">
      <c r="H112" s="91">
        <v>42282</v>
      </c>
      <c r="I112" s="61">
        <v>305000000</v>
      </c>
      <c r="K112" s="91">
        <v>42282</v>
      </c>
      <c r="L112" s="61">
        <v>465000000</v>
      </c>
    </row>
    <row r="113" spans="8:12" x14ac:dyDescent="0.25">
      <c r="H113" s="91">
        <v>42283</v>
      </c>
      <c r="I113" s="61">
        <v>314000000</v>
      </c>
      <c r="K113" s="91">
        <v>42283</v>
      </c>
      <c r="L113" s="61">
        <v>465000000</v>
      </c>
    </row>
    <row r="114" spans="8:12" x14ac:dyDescent="0.25">
      <c r="H114" s="91">
        <v>42284</v>
      </c>
      <c r="I114" s="61">
        <v>317000000</v>
      </c>
      <c r="K114" s="91">
        <v>42284</v>
      </c>
      <c r="L114" s="61">
        <v>468000000</v>
      </c>
    </row>
    <row r="115" spans="8:12" x14ac:dyDescent="0.25">
      <c r="H115" s="91">
        <v>42285</v>
      </c>
      <c r="I115" s="61">
        <v>322000000</v>
      </c>
      <c r="K115" s="91">
        <v>42285</v>
      </c>
      <c r="L115" s="61">
        <v>465000000</v>
      </c>
    </row>
    <row r="116" spans="8:12" x14ac:dyDescent="0.25">
      <c r="H116" s="91">
        <v>42286</v>
      </c>
      <c r="I116" s="61">
        <v>329000000</v>
      </c>
      <c r="K116" s="91">
        <v>42286</v>
      </c>
      <c r="L116" s="61">
        <v>466000000</v>
      </c>
    </row>
    <row r="117" spans="8:12" x14ac:dyDescent="0.25">
      <c r="H117" s="91">
        <v>42289</v>
      </c>
      <c r="I117" s="61">
        <v>329000000</v>
      </c>
      <c r="K117" s="91">
        <v>42289</v>
      </c>
      <c r="L117" s="61">
        <v>466000000</v>
      </c>
    </row>
    <row r="118" spans="8:12" x14ac:dyDescent="0.25">
      <c r="H118" s="91">
        <v>42290</v>
      </c>
      <c r="I118" s="61">
        <v>327000000</v>
      </c>
      <c r="K118" s="91">
        <v>42290</v>
      </c>
      <c r="L118" s="61">
        <v>465000000</v>
      </c>
    </row>
    <row r="119" spans="8:12" x14ac:dyDescent="0.25">
      <c r="H119" s="91">
        <v>42291</v>
      </c>
      <c r="I119" s="61">
        <v>331000000</v>
      </c>
      <c r="K119" s="91">
        <v>42291</v>
      </c>
      <c r="L119" s="61">
        <v>460000000</v>
      </c>
    </row>
    <row r="120" spans="8:12" x14ac:dyDescent="0.25">
      <c r="H120" s="91">
        <v>42292</v>
      </c>
      <c r="I120" s="61">
        <v>330000000</v>
      </c>
      <c r="K120" s="91">
        <v>42292</v>
      </c>
      <c r="L120" s="61">
        <v>464000000</v>
      </c>
    </row>
    <row r="121" spans="8:12" x14ac:dyDescent="0.25">
      <c r="H121" s="91">
        <v>42293</v>
      </c>
      <c r="I121" s="61">
        <v>327000000</v>
      </c>
      <c r="K121" s="91">
        <v>42293</v>
      </c>
      <c r="L121" s="61">
        <v>468000000</v>
      </c>
    </row>
    <row r="122" spans="8:12" x14ac:dyDescent="0.25">
      <c r="H122" s="91">
        <v>42296</v>
      </c>
      <c r="I122" s="61">
        <v>322000000</v>
      </c>
      <c r="K122" s="91">
        <v>42296</v>
      </c>
      <c r="L122" s="61">
        <v>469000000</v>
      </c>
    </row>
    <row r="123" spans="8:12" x14ac:dyDescent="0.25">
      <c r="H123" s="91">
        <v>42297</v>
      </c>
      <c r="I123" s="61">
        <v>324000000</v>
      </c>
      <c r="K123" s="91">
        <v>42297</v>
      </c>
      <c r="L123" s="61">
        <v>464000000</v>
      </c>
    </row>
    <row r="124" spans="8:12" x14ac:dyDescent="0.25">
      <c r="H124" s="91">
        <v>42298</v>
      </c>
      <c r="I124" s="61">
        <v>321000000</v>
      </c>
      <c r="K124" s="91">
        <v>42298</v>
      </c>
      <c r="L124" s="61">
        <v>463000000</v>
      </c>
    </row>
    <row r="125" spans="8:12" x14ac:dyDescent="0.25">
      <c r="H125" s="91">
        <v>42299</v>
      </c>
      <c r="I125" s="61">
        <v>301000000</v>
      </c>
      <c r="K125" s="91">
        <v>42299</v>
      </c>
      <c r="L125" s="61">
        <v>462000000</v>
      </c>
    </row>
    <row r="126" spans="8:12" x14ac:dyDescent="0.25">
      <c r="H126" s="91">
        <v>42300</v>
      </c>
      <c r="I126" s="61">
        <v>302000000</v>
      </c>
      <c r="K126" s="91">
        <v>42300</v>
      </c>
      <c r="L126" s="61">
        <v>462000000</v>
      </c>
    </row>
    <row r="127" spans="8:12" x14ac:dyDescent="0.25">
      <c r="H127" s="91">
        <v>42303</v>
      </c>
      <c r="I127" s="61">
        <v>302000000</v>
      </c>
      <c r="K127" s="91">
        <v>42303</v>
      </c>
      <c r="L127" s="61">
        <v>461000000</v>
      </c>
    </row>
    <row r="128" spans="8:12" x14ac:dyDescent="0.25">
      <c r="H128" s="91">
        <v>42304</v>
      </c>
      <c r="I128" s="61">
        <v>307000000</v>
      </c>
      <c r="K128" s="91">
        <v>42304</v>
      </c>
      <c r="L128" s="61">
        <v>459000000</v>
      </c>
    </row>
    <row r="129" spans="8:12" x14ac:dyDescent="0.25">
      <c r="H129" s="91">
        <v>42305</v>
      </c>
      <c r="I129" s="61">
        <v>300000000</v>
      </c>
      <c r="K129" s="91">
        <v>42305</v>
      </c>
      <c r="L129" s="61">
        <v>459000000</v>
      </c>
    </row>
    <row r="130" spans="8:12" x14ac:dyDescent="0.25">
      <c r="H130" s="91">
        <v>42306</v>
      </c>
      <c r="I130" s="61">
        <v>308000000</v>
      </c>
      <c r="K130" s="91">
        <v>42306</v>
      </c>
      <c r="L130" s="61">
        <v>460000000</v>
      </c>
    </row>
    <row r="131" spans="8:12" x14ac:dyDescent="0.25">
      <c r="H131" s="91">
        <v>42307</v>
      </c>
      <c r="I131" s="61">
        <v>311000000</v>
      </c>
      <c r="K131" s="91">
        <v>42307</v>
      </c>
      <c r="L131" s="61">
        <v>460000000</v>
      </c>
    </row>
    <row r="132" spans="8:12" x14ac:dyDescent="0.25">
      <c r="H132" s="91">
        <v>42310</v>
      </c>
      <c r="I132" s="61">
        <v>319000000</v>
      </c>
      <c r="K132" s="91">
        <v>42310</v>
      </c>
      <c r="L132" s="61">
        <v>472000000</v>
      </c>
    </row>
    <row r="133" spans="8:12" x14ac:dyDescent="0.25">
      <c r="H133" s="91">
        <v>42311</v>
      </c>
      <c r="I133" s="61">
        <v>315000000</v>
      </c>
      <c r="K133" s="91">
        <v>42311</v>
      </c>
      <c r="L133" s="61">
        <v>460000000</v>
      </c>
    </row>
    <row r="134" spans="8:12" x14ac:dyDescent="0.25">
      <c r="H134" s="91">
        <v>42312</v>
      </c>
      <c r="I134" s="61">
        <v>300000000</v>
      </c>
      <c r="K134" s="91">
        <v>42312</v>
      </c>
      <c r="L134" s="61">
        <v>463000000</v>
      </c>
    </row>
    <row r="135" spans="8:12" x14ac:dyDescent="0.25">
      <c r="H135" s="91">
        <v>42313</v>
      </c>
      <c r="I135" s="61">
        <v>305000000</v>
      </c>
      <c r="K135" s="91">
        <v>42313</v>
      </c>
      <c r="L135" s="61">
        <v>463000000</v>
      </c>
    </row>
    <row r="136" spans="8:12" x14ac:dyDescent="0.25">
      <c r="H136" s="91">
        <v>42314</v>
      </c>
      <c r="I136" s="61">
        <v>292000000</v>
      </c>
      <c r="K136" s="91">
        <v>42314</v>
      </c>
      <c r="L136" s="61">
        <v>467000000</v>
      </c>
    </row>
    <row r="137" spans="8:12" x14ac:dyDescent="0.25">
      <c r="H137" s="91">
        <v>42317</v>
      </c>
      <c r="I137" s="61">
        <v>293000000</v>
      </c>
      <c r="K137" s="91">
        <v>42317</v>
      </c>
      <c r="L137" s="61">
        <v>465000000</v>
      </c>
    </row>
    <row r="138" spans="8:12" x14ac:dyDescent="0.25">
      <c r="H138" s="91">
        <v>42318</v>
      </c>
      <c r="I138" s="61">
        <v>289000000</v>
      </c>
      <c r="K138" s="91">
        <v>42318</v>
      </c>
      <c r="L138" s="61">
        <v>468000000</v>
      </c>
    </row>
    <row r="139" spans="8:12" x14ac:dyDescent="0.25">
      <c r="H139" s="91">
        <v>42319</v>
      </c>
      <c r="I139" s="61">
        <v>290000000</v>
      </c>
      <c r="K139" s="91">
        <v>42319</v>
      </c>
      <c r="L139" s="61">
        <v>467000000</v>
      </c>
    </row>
    <row r="140" spans="8:12" x14ac:dyDescent="0.25">
      <c r="H140" s="91">
        <v>42320</v>
      </c>
      <c r="I140" s="61">
        <v>291000000</v>
      </c>
      <c r="K140" s="91">
        <v>42320</v>
      </c>
      <c r="L140" s="61">
        <v>467000000</v>
      </c>
    </row>
    <row r="141" spans="8:12" x14ac:dyDescent="0.25">
      <c r="H141" s="91">
        <v>42321</v>
      </c>
      <c r="I141" s="61">
        <v>278000000</v>
      </c>
      <c r="K141" s="91">
        <v>42321</v>
      </c>
      <c r="L141" s="61">
        <v>465000000</v>
      </c>
    </row>
    <row r="142" spans="8:12" x14ac:dyDescent="0.25">
      <c r="H142" s="91">
        <v>42324</v>
      </c>
      <c r="I142" s="61">
        <v>277000000</v>
      </c>
      <c r="K142" s="91">
        <v>42324</v>
      </c>
      <c r="L142" s="61">
        <v>465000000</v>
      </c>
    </row>
    <row r="143" spans="8:12" x14ac:dyDescent="0.25">
      <c r="H143" s="91">
        <v>42325</v>
      </c>
      <c r="I143" s="61">
        <v>273000000</v>
      </c>
      <c r="K143" s="91">
        <v>42325</v>
      </c>
      <c r="L143" s="61">
        <v>466000000</v>
      </c>
    </row>
    <row r="144" spans="8:12" x14ac:dyDescent="0.25">
      <c r="H144" s="91">
        <v>42326</v>
      </c>
      <c r="I144" s="61">
        <v>274000000</v>
      </c>
      <c r="K144" s="91">
        <v>42326</v>
      </c>
      <c r="L144" s="61">
        <v>468000000</v>
      </c>
    </row>
    <row r="145" spans="8:12" x14ac:dyDescent="0.25">
      <c r="H145" s="91">
        <v>42327</v>
      </c>
      <c r="I145" s="61">
        <v>283000000</v>
      </c>
      <c r="K145" s="91">
        <v>42327</v>
      </c>
      <c r="L145" s="61">
        <v>466000000</v>
      </c>
    </row>
    <row r="146" spans="8:12" x14ac:dyDescent="0.25">
      <c r="H146" s="91">
        <v>42328</v>
      </c>
      <c r="I146" s="61">
        <v>291000000</v>
      </c>
      <c r="K146" s="91">
        <v>42328</v>
      </c>
      <c r="L146" s="61">
        <v>465000000</v>
      </c>
    </row>
    <row r="147" spans="8:12" x14ac:dyDescent="0.25">
      <c r="H147" s="91">
        <v>42331</v>
      </c>
      <c r="I147" s="61">
        <v>269000000</v>
      </c>
      <c r="K147" s="91">
        <v>42331</v>
      </c>
      <c r="L147" s="61">
        <v>468000000</v>
      </c>
    </row>
    <row r="148" spans="8:12" x14ac:dyDescent="0.25">
      <c r="H148" s="91">
        <v>42332</v>
      </c>
      <c r="I148" s="61">
        <v>273000000</v>
      </c>
      <c r="K148" s="91">
        <v>42332</v>
      </c>
      <c r="L148" s="61">
        <v>465000000</v>
      </c>
    </row>
    <row r="149" spans="8:12" x14ac:dyDescent="0.25">
      <c r="H149" s="91">
        <v>42333</v>
      </c>
      <c r="I149" s="61">
        <v>270000000</v>
      </c>
      <c r="K149" s="91">
        <v>42333</v>
      </c>
      <c r="L149" s="61">
        <v>466000000</v>
      </c>
    </row>
    <row r="150" spans="8:12" x14ac:dyDescent="0.25">
      <c r="H150" s="91">
        <v>42334</v>
      </c>
      <c r="I150" s="61">
        <v>270000000</v>
      </c>
      <c r="K150" s="91">
        <v>42334</v>
      </c>
      <c r="L150" s="61">
        <v>466000000</v>
      </c>
    </row>
    <row r="151" spans="8:12" x14ac:dyDescent="0.25">
      <c r="H151" s="91">
        <v>42335</v>
      </c>
      <c r="I151" s="61">
        <v>269000000</v>
      </c>
      <c r="K151" s="91">
        <v>42335</v>
      </c>
      <c r="L151" s="61">
        <v>468000000</v>
      </c>
    </row>
    <row r="152" spans="8:12" x14ac:dyDescent="0.25">
      <c r="H152" s="91">
        <v>42338</v>
      </c>
      <c r="I152" s="61">
        <v>261000000</v>
      </c>
      <c r="K152" s="91">
        <v>42338</v>
      </c>
      <c r="L152" s="61">
        <v>466000000</v>
      </c>
    </row>
    <row r="153" spans="8:12" x14ac:dyDescent="0.25">
      <c r="H153" s="91">
        <v>42339</v>
      </c>
      <c r="I153" s="61">
        <v>271000000</v>
      </c>
      <c r="K153" s="91">
        <v>42339</v>
      </c>
      <c r="L153" s="61">
        <v>467000000</v>
      </c>
    </row>
    <row r="154" spans="8:12" x14ac:dyDescent="0.25">
      <c r="H154" s="91">
        <v>42340</v>
      </c>
      <c r="I154" s="61">
        <v>268000000</v>
      </c>
      <c r="K154" s="91">
        <v>42340</v>
      </c>
      <c r="L154" s="61">
        <v>468000000</v>
      </c>
    </row>
    <row r="155" spans="8:12" x14ac:dyDescent="0.25">
      <c r="H155" s="91">
        <v>42341</v>
      </c>
      <c r="I155" s="61">
        <v>268000000</v>
      </c>
      <c r="K155" s="91">
        <v>42341</v>
      </c>
      <c r="L155" s="61">
        <v>468000000</v>
      </c>
    </row>
    <row r="156" spans="8:12" x14ac:dyDescent="0.25">
      <c r="H156" s="91">
        <v>42342</v>
      </c>
      <c r="I156" s="61">
        <v>316000000</v>
      </c>
      <c r="K156" s="91">
        <v>42342</v>
      </c>
      <c r="L156" s="61">
        <v>472000000</v>
      </c>
    </row>
    <row r="157" spans="8:12" x14ac:dyDescent="0.25">
      <c r="H157" s="91">
        <v>42345</v>
      </c>
      <c r="I157" s="61">
        <v>308000000</v>
      </c>
      <c r="K157" s="91">
        <v>42345</v>
      </c>
      <c r="L157" s="61">
        <v>472000000</v>
      </c>
    </row>
    <row r="158" spans="8:12" x14ac:dyDescent="0.25">
      <c r="H158" s="91">
        <v>42346</v>
      </c>
      <c r="I158" s="61">
        <v>307000000</v>
      </c>
      <c r="K158" s="91">
        <v>42346</v>
      </c>
      <c r="L158" s="61">
        <v>472000000</v>
      </c>
    </row>
    <row r="159" spans="8:12" x14ac:dyDescent="0.25">
      <c r="H159" s="91">
        <v>42347</v>
      </c>
      <c r="I159" s="61">
        <v>318000000</v>
      </c>
      <c r="K159" s="91">
        <v>42347</v>
      </c>
      <c r="L159" s="61">
        <v>469000000</v>
      </c>
    </row>
    <row r="160" spans="8:12" x14ac:dyDescent="0.25">
      <c r="H160" s="91">
        <v>42348</v>
      </c>
      <c r="I160" s="61">
        <v>306000000</v>
      </c>
      <c r="K160" s="91">
        <v>42348</v>
      </c>
      <c r="L160" s="61">
        <v>470000000</v>
      </c>
    </row>
    <row r="161" spans="8:12" x14ac:dyDescent="0.25">
      <c r="H161" s="91">
        <v>42349</v>
      </c>
      <c r="I161" s="61">
        <v>303000000</v>
      </c>
      <c r="K161" s="91">
        <v>42349</v>
      </c>
      <c r="L161" s="61">
        <v>466000000</v>
      </c>
    </row>
    <row r="162" spans="8:12" x14ac:dyDescent="0.25">
      <c r="H162" s="91">
        <v>42352</v>
      </c>
      <c r="I162" s="61">
        <v>310000000</v>
      </c>
      <c r="K162" s="91">
        <v>42352</v>
      </c>
      <c r="L162" s="61">
        <v>466000000</v>
      </c>
    </row>
    <row r="163" spans="8:12" x14ac:dyDescent="0.25">
      <c r="H163" s="91">
        <v>42353</v>
      </c>
      <c r="I163" s="61">
        <v>298000000</v>
      </c>
      <c r="K163" s="91">
        <v>42353</v>
      </c>
      <c r="L163" s="61">
        <v>468000000</v>
      </c>
    </row>
    <row r="164" spans="8:12" x14ac:dyDescent="0.25">
      <c r="H164" s="91">
        <v>42354</v>
      </c>
      <c r="I164" s="61">
        <v>321000000</v>
      </c>
      <c r="K164" s="91">
        <v>42354</v>
      </c>
      <c r="L164" s="61">
        <v>462000000</v>
      </c>
    </row>
    <row r="165" spans="8:12" x14ac:dyDescent="0.25">
      <c r="H165" s="91">
        <v>42355</v>
      </c>
      <c r="I165" s="61">
        <v>288000000</v>
      </c>
      <c r="K165" s="91">
        <v>42355</v>
      </c>
      <c r="L165" s="61">
        <v>452000000</v>
      </c>
    </row>
    <row r="166" spans="8:12" x14ac:dyDescent="0.25">
      <c r="H166" s="91">
        <v>42356</v>
      </c>
      <c r="I166" s="61">
        <v>290000000</v>
      </c>
      <c r="K166" s="91">
        <v>42356</v>
      </c>
      <c r="L166" s="61">
        <v>450000000</v>
      </c>
    </row>
    <row r="167" spans="8:12" x14ac:dyDescent="0.25">
      <c r="H167" s="91">
        <v>42359</v>
      </c>
      <c r="I167" s="61">
        <v>290000000</v>
      </c>
      <c r="K167" s="91">
        <v>42359</v>
      </c>
      <c r="L167" s="61">
        <v>450000000</v>
      </c>
    </row>
    <row r="168" spans="8:12" x14ac:dyDescent="0.25">
      <c r="H168" s="91">
        <v>42360</v>
      </c>
      <c r="I168" s="61">
        <v>316000000</v>
      </c>
      <c r="K168" s="91">
        <v>42360</v>
      </c>
      <c r="L168" s="61">
        <v>448000000</v>
      </c>
    </row>
    <row r="169" spans="8:12" x14ac:dyDescent="0.25">
      <c r="H169" s="91">
        <v>42361</v>
      </c>
      <c r="I169" s="61">
        <v>315000000</v>
      </c>
      <c r="K169" s="91">
        <v>42361</v>
      </c>
      <c r="L169" s="61">
        <v>454000000</v>
      </c>
    </row>
    <row r="170" spans="8:12" x14ac:dyDescent="0.25">
      <c r="H170" s="91">
        <v>42362</v>
      </c>
      <c r="I170" s="61">
        <v>318000000</v>
      </c>
      <c r="K170" s="91">
        <v>42362</v>
      </c>
      <c r="L170" s="61">
        <v>461000000</v>
      </c>
    </row>
    <row r="171" spans="8:12" x14ac:dyDescent="0.25">
      <c r="H171" s="91">
        <v>42363</v>
      </c>
      <c r="I171" s="61">
        <v>318000000</v>
      </c>
      <c r="K171" s="91">
        <v>42363</v>
      </c>
      <c r="L171" s="61">
        <v>461000000</v>
      </c>
    </row>
    <row r="172" spans="8:12" x14ac:dyDescent="0.25">
      <c r="H172" s="91">
        <v>42366</v>
      </c>
      <c r="I172" s="61">
        <v>318000000</v>
      </c>
      <c r="K172" s="91">
        <v>42366</v>
      </c>
      <c r="L172" s="61">
        <v>461000000</v>
      </c>
    </row>
    <row r="173" spans="8:12" x14ac:dyDescent="0.25">
      <c r="H173" s="91">
        <v>42367</v>
      </c>
      <c r="I173" s="61">
        <v>325000000</v>
      </c>
      <c r="K173" s="91">
        <v>42367</v>
      </c>
      <c r="L173" s="61">
        <v>458000000</v>
      </c>
    </row>
    <row r="174" spans="8:12" x14ac:dyDescent="0.25">
      <c r="H174" s="91">
        <v>42368</v>
      </c>
      <c r="I174" s="61">
        <v>319000000</v>
      </c>
      <c r="K174" s="91">
        <v>42368</v>
      </c>
      <c r="L174" s="61">
        <v>455000000</v>
      </c>
    </row>
    <row r="175" spans="8:12" x14ac:dyDescent="0.25">
      <c r="H175" s="91">
        <v>42369</v>
      </c>
      <c r="I175" s="61">
        <v>306000000</v>
      </c>
      <c r="K175" s="91">
        <v>42369</v>
      </c>
      <c r="L175" s="61">
        <v>452000000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election activeCell="K44" sqref="K44"/>
    </sheetView>
  </sheetViews>
  <sheetFormatPr defaultRowHeight="15" x14ac:dyDescent="0.25"/>
  <cols>
    <col min="1" max="16384" width="9.140625" style="2"/>
  </cols>
  <sheetData>
    <row r="1" spans="1:28" x14ac:dyDescent="0.25">
      <c r="A1" s="86" t="s">
        <v>459</v>
      </c>
      <c r="B1" s="86" t="s">
        <v>460</v>
      </c>
      <c r="C1" s="86" t="s">
        <v>461</v>
      </c>
      <c r="D1" s="2" t="s">
        <v>462</v>
      </c>
      <c r="E1" s="2" t="s">
        <v>463</v>
      </c>
      <c r="F1" s="2" t="s">
        <v>464</v>
      </c>
      <c r="G1" s="2" t="s">
        <v>465</v>
      </c>
      <c r="H1" s="2" t="s">
        <v>466</v>
      </c>
      <c r="I1" s="2" t="s">
        <v>467</v>
      </c>
      <c r="J1" s="2" t="s">
        <v>468</v>
      </c>
      <c r="K1" s="2" t="s">
        <v>469</v>
      </c>
      <c r="L1" s="2" t="s">
        <v>470</v>
      </c>
      <c r="M1" s="2" t="s">
        <v>471</v>
      </c>
      <c r="N1" s="2" t="s">
        <v>472</v>
      </c>
      <c r="O1" s="2" t="s">
        <v>473</v>
      </c>
      <c r="P1" s="2" t="s">
        <v>474</v>
      </c>
      <c r="Q1" s="2" t="s">
        <v>475</v>
      </c>
      <c r="R1" s="2" t="s">
        <v>476</v>
      </c>
      <c r="S1" s="2" t="s">
        <v>477</v>
      </c>
      <c r="T1" s="2" t="s">
        <v>478</v>
      </c>
      <c r="U1" s="2" t="s">
        <v>479</v>
      </c>
      <c r="V1" s="2" t="s">
        <v>480</v>
      </c>
      <c r="W1" s="2" t="s">
        <v>481</v>
      </c>
      <c r="X1" s="2" t="s">
        <v>482</v>
      </c>
      <c r="Y1" s="2" t="s">
        <v>483</v>
      </c>
      <c r="Z1" s="2" t="s">
        <v>484</v>
      </c>
      <c r="AA1" s="2" t="s">
        <v>485</v>
      </c>
      <c r="AB1" s="2" t="s">
        <v>486</v>
      </c>
    </row>
    <row r="2" spans="1:28" x14ac:dyDescent="0.25">
      <c r="A2" s="87" t="s">
        <v>487</v>
      </c>
      <c r="B2" s="87">
        <v>0.7669460582667702</v>
      </c>
      <c r="C2" s="87">
        <v>0.66130618225609972</v>
      </c>
      <c r="D2" s="87">
        <v>0.31935752146803198</v>
      </c>
      <c r="E2" s="87">
        <v>0.99904073932441995</v>
      </c>
      <c r="F2" s="87">
        <v>1.0256905798891558</v>
      </c>
      <c r="G2" s="87">
        <v>1.0530502840327436</v>
      </c>
      <c r="H2" s="87">
        <v>1.0321009497234275</v>
      </c>
      <c r="I2" s="87">
        <v>0.99372180668606369</v>
      </c>
      <c r="J2" s="87">
        <v>0.94208501568420921</v>
      </c>
      <c r="K2" s="87">
        <v>0.91935108434941726</v>
      </c>
      <c r="L2" s="87">
        <v>0.93271345847866871</v>
      </c>
      <c r="M2" s="87">
        <v>0.98445538405966915</v>
      </c>
      <c r="N2" s="87">
        <v>1.0337999826415762</v>
      </c>
      <c r="O2" s="87">
        <v>1.0118918219650404</v>
      </c>
      <c r="P2" s="87">
        <v>1.2918917030796535</v>
      </c>
      <c r="Q2" s="87">
        <v>0.93655774148524296</v>
      </c>
      <c r="R2" s="87">
        <v>0.91124455979217811</v>
      </c>
      <c r="S2" s="87">
        <v>0.96187774288863226</v>
      </c>
      <c r="T2" s="87">
        <v>0.91286362140935662</v>
      </c>
      <c r="U2" s="87">
        <v>0.96972042317282747</v>
      </c>
      <c r="V2" s="87">
        <v>0.92499706854064057</v>
      </c>
      <c r="W2" s="87">
        <v>0.87334363012564065</v>
      </c>
      <c r="X2" s="87">
        <v>1.1259827740160078</v>
      </c>
      <c r="Y2" s="87">
        <v>1.0537758395230035</v>
      </c>
      <c r="Z2" s="87">
        <v>1.0969351887114493</v>
      </c>
      <c r="AA2" s="87">
        <v>1.0512895756785552</v>
      </c>
      <c r="AB2" s="87">
        <v>0.86115813162554822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
  <sheetViews>
    <sheetView showGridLines="0" zoomScale="80" workbookViewId="0">
      <selection activeCell="K44" sqref="K44"/>
    </sheetView>
  </sheetViews>
  <sheetFormatPr defaultRowHeight="12.75" x14ac:dyDescent="0.2"/>
  <cols>
    <col min="1" max="1" width="3.7109375" style="93" customWidth="1"/>
    <col min="2" max="9" width="9.140625" style="93"/>
    <col min="10" max="10" width="27.7109375" style="93" bestFit="1" customWidth="1"/>
    <col min="11" max="16384" width="9.140625" style="93"/>
  </cols>
  <sheetData>
    <row r="1" spans="1:33" s="95" customFormat="1" ht="18.75" x14ac:dyDescent="0.3">
      <c r="A1" s="94" t="s">
        <v>491</v>
      </c>
    </row>
    <row r="5" spans="1:33" x14ac:dyDescent="0.2">
      <c r="C5"/>
    </row>
    <row r="6" spans="1:33" ht="15" x14ac:dyDescent="0.25">
      <c r="J6" s="105"/>
      <c r="K6" s="106">
        <v>41820</v>
      </c>
      <c r="L6" s="106"/>
      <c r="M6" s="106"/>
      <c r="N6" s="106">
        <v>41912</v>
      </c>
      <c r="O6" s="106"/>
      <c r="P6" s="106"/>
      <c r="Q6" s="106">
        <v>42004</v>
      </c>
      <c r="R6" s="106"/>
      <c r="S6" s="106"/>
      <c r="T6" s="106">
        <v>42094</v>
      </c>
      <c r="U6" s="106"/>
      <c r="V6" s="106"/>
      <c r="W6" s="106">
        <v>42185</v>
      </c>
      <c r="X6" s="106"/>
      <c r="Y6" s="106"/>
      <c r="Z6" s="106">
        <v>42277</v>
      </c>
      <c r="AA6" s="106"/>
      <c r="AB6" s="106"/>
      <c r="AC6" s="106">
        <v>42369</v>
      </c>
      <c r="AD6" s="106"/>
      <c r="AE6" s="106"/>
      <c r="AF6" s="106">
        <v>42460</v>
      </c>
      <c r="AG6" s="107"/>
    </row>
    <row r="7" spans="1:33" x14ac:dyDescent="0.2">
      <c r="J7" s="103" t="s">
        <v>492</v>
      </c>
      <c r="K7" s="97">
        <v>8</v>
      </c>
      <c r="L7" s="98">
        <v>2</v>
      </c>
      <c r="M7" s="98">
        <v>1</v>
      </c>
      <c r="N7" s="99">
        <v>9</v>
      </c>
      <c r="O7" s="99">
        <v>17</v>
      </c>
      <c r="P7" s="99">
        <v>1</v>
      </c>
      <c r="Q7" s="99">
        <v>0</v>
      </c>
      <c r="R7" s="99">
        <v>2</v>
      </c>
      <c r="S7" s="99">
        <v>2</v>
      </c>
      <c r="T7" s="99">
        <v>4</v>
      </c>
      <c r="U7" s="99">
        <v>2</v>
      </c>
      <c r="V7" s="99">
        <v>2</v>
      </c>
      <c r="W7" s="99">
        <v>6</v>
      </c>
      <c r="X7" s="99">
        <v>2</v>
      </c>
      <c r="Y7" s="99">
        <v>2</v>
      </c>
      <c r="Z7" s="99">
        <v>5</v>
      </c>
      <c r="AA7" s="99">
        <v>0</v>
      </c>
      <c r="AB7" s="99">
        <v>12</v>
      </c>
      <c r="AC7" s="99">
        <v>3</v>
      </c>
      <c r="AD7" s="99">
        <v>1</v>
      </c>
      <c r="AE7" s="99">
        <v>0</v>
      </c>
      <c r="AF7" s="99">
        <v>3</v>
      </c>
      <c r="AG7" s="100">
        <v>0</v>
      </c>
    </row>
    <row r="8" spans="1:33" x14ac:dyDescent="0.2">
      <c r="J8" s="104" t="s">
        <v>493</v>
      </c>
      <c r="K8" s="101">
        <v>25</v>
      </c>
      <c r="L8" s="101">
        <v>25</v>
      </c>
      <c r="M8" s="101">
        <v>25</v>
      </c>
      <c r="N8" s="101">
        <v>25</v>
      </c>
      <c r="O8" s="101">
        <v>25</v>
      </c>
      <c r="P8" s="101">
        <v>25</v>
      </c>
      <c r="Q8" s="101">
        <v>25</v>
      </c>
      <c r="R8" s="101">
        <v>25</v>
      </c>
      <c r="S8" s="101">
        <v>25</v>
      </c>
      <c r="T8" s="101">
        <v>25</v>
      </c>
      <c r="U8" s="101">
        <v>25</v>
      </c>
      <c r="V8" s="101">
        <v>25</v>
      </c>
      <c r="W8" s="101">
        <v>25</v>
      </c>
      <c r="X8" s="101">
        <v>25</v>
      </c>
      <c r="Y8" s="101">
        <v>25</v>
      </c>
      <c r="Z8" s="101">
        <v>25</v>
      </c>
      <c r="AA8" s="101">
        <v>25</v>
      </c>
      <c r="AB8" s="101">
        <v>25</v>
      </c>
      <c r="AC8" s="101">
        <v>25</v>
      </c>
      <c r="AD8" s="101">
        <v>25</v>
      </c>
      <c r="AE8" s="101">
        <v>25</v>
      </c>
      <c r="AF8" s="101">
        <v>25</v>
      </c>
      <c r="AG8" s="102">
        <v>25</v>
      </c>
    </row>
  </sheetData>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6"/>
  <sheetViews>
    <sheetView workbookViewId="0"/>
  </sheetViews>
  <sheetFormatPr defaultRowHeight="12.75" x14ac:dyDescent="0.2"/>
  <cols>
    <col min="1" max="1" width="9.28515625" style="96" bestFit="1" customWidth="1"/>
    <col min="2" max="2" width="10.5703125" style="96" bestFit="1" customWidth="1"/>
    <col min="3" max="4" width="12.5703125" style="112" bestFit="1" customWidth="1"/>
    <col min="5" max="5" width="9.140625" style="96"/>
    <col min="6" max="6" width="15.28515625" style="96" bestFit="1" customWidth="1"/>
    <col min="7" max="7" width="9.7109375" style="96" bestFit="1" customWidth="1"/>
    <col min="8" max="8" width="9.28515625" style="96" bestFit="1" customWidth="1"/>
    <col min="9" max="9" width="11.42578125" style="96" bestFit="1" customWidth="1"/>
    <col min="10" max="16384" width="9.140625" style="96"/>
  </cols>
  <sheetData>
    <row r="1" spans="1:9" x14ac:dyDescent="0.2">
      <c r="A1" s="108" t="s">
        <v>494</v>
      </c>
      <c r="B1" s="109" t="s">
        <v>442</v>
      </c>
      <c r="C1" s="110" t="s">
        <v>495</v>
      </c>
      <c r="D1" s="110" t="s">
        <v>496</v>
      </c>
      <c r="F1" s="108" t="s">
        <v>497</v>
      </c>
      <c r="G1" s="109" t="s">
        <v>442</v>
      </c>
      <c r="H1" s="110" t="s">
        <v>495</v>
      </c>
      <c r="I1" s="110" t="s">
        <v>496</v>
      </c>
    </row>
    <row r="2" spans="1:9" x14ac:dyDescent="0.2">
      <c r="B2" s="111">
        <v>42006</v>
      </c>
      <c r="C2" s="112">
        <v>-5.373282813E-2</v>
      </c>
      <c r="D2" s="112">
        <v>-0.83329006250000004</v>
      </c>
      <c r="G2" s="113">
        <v>42034</v>
      </c>
      <c r="H2" s="114">
        <v>-0.15995771875000001</v>
      </c>
      <c r="I2" s="114">
        <v>-0.84633012500000004</v>
      </c>
    </row>
    <row r="3" spans="1:9" x14ac:dyDescent="0.2">
      <c r="B3" s="111">
        <v>42009</v>
      </c>
      <c r="C3" s="112">
        <v>-9.6907921879999998E-2</v>
      </c>
      <c r="D3" s="112">
        <v>-0.85312175000000001</v>
      </c>
      <c r="G3" s="113">
        <v>42062</v>
      </c>
      <c r="H3" s="114">
        <v>-0.16963134375</v>
      </c>
      <c r="I3" s="114">
        <v>-1.21103999372</v>
      </c>
    </row>
    <row r="4" spans="1:9" x14ac:dyDescent="0.2">
      <c r="B4" s="111">
        <v>42010</v>
      </c>
      <c r="C4" s="112">
        <v>-0.12668663281</v>
      </c>
      <c r="D4" s="112">
        <v>-0.77197843749999995</v>
      </c>
      <c r="G4" s="113">
        <v>42094</v>
      </c>
      <c r="H4" s="114">
        <v>-4.8132296880000001E-2</v>
      </c>
      <c r="I4" s="114">
        <v>-1.2122087660200001</v>
      </c>
    </row>
    <row r="5" spans="1:9" x14ac:dyDescent="0.2">
      <c r="B5" s="111">
        <v>42011</v>
      </c>
      <c r="C5" s="112">
        <v>-0.10517739844</v>
      </c>
      <c r="D5" s="112">
        <v>-0.84861156250000003</v>
      </c>
      <c r="G5" s="113">
        <v>42124</v>
      </c>
      <c r="H5" s="114">
        <v>-0.19299235938000001</v>
      </c>
      <c r="I5" s="114">
        <v>-1.09854275</v>
      </c>
    </row>
    <row r="6" spans="1:9" x14ac:dyDescent="0.2">
      <c r="B6" s="111">
        <v>42012</v>
      </c>
      <c r="C6" s="112">
        <v>-9.6551328130000003E-2</v>
      </c>
      <c r="D6" s="112">
        <v>-0.88317487500000003</v>
      </c>
      <c r="G6" s="113">
        <v>42153</v>
      </c>
      <c r="H6" s="114">
        <v>-0.29383668750000003</v>
      </c>
      <c r="I6" s="114">
        <v>-0.95588318999999999</v>
      </c>
    </row>
    <row r="7" spans="1:9" x14ac:dyDescent="0.2">
      <c r="B7" s="111">
        <v>42013</v>
      </c>
      <c r="C7" s="112">
        <v>-7.8852296880000006E-2</v>
      </c>
      <c r="D7" s="112">
        <v>-0.85171062500000005</v>
      </c>
      <c r="G7" s="113">
        <v>42185</v>
      </c>
      <c r="H7" s="114">
        <v>-0.11167168750000001</v>
      </c>
      <c r="I7" s="114">
        <v>-0.81033831000000001</v>
      </c>
    </row>
    <row r="8" spans="1:9" x14ac:dyDescent="0.2">
      <c r="B8" s="111">
        <v>42016</v>
      </c>
      <c r="C8" s="112">
        <v>-6.1233859379999998E-2</v>
      </c>
      <c r="D8" s="112">
        <v>-1.0678745000000001</v>
      </c>
      <c r="G8" s="113">
        <v>42216</v>
      </c>
      <c r="H8" s="114">
        <v>-6.5460910159999997E-2</v>
      </c>
      <c r="I8" s="114">
        <v>-0.75188843999999999</v>
      </c>
    </row>
    <row r="9" spans="1:9" x14ac:dyDescent="0.2">
      <c r="B9" s="111">
        <v>42017</v>
      </c>
      <c r="C9" s="112">
        <v>-7.455160156E-2</v>
      </c>
      <c r="D9" s="112">
        <v>-0.725021625</v>
      </c>
      <c r="G9" s="113">
        <v>42247</v>
      </c>
      <c r="H9" s="114">
        <v>-8.3031421879999998E-2</v>
      </c>
      <c r="I9" s="114">
        <v>-0.89988656</v>
      </c>
    </row>
    <row r="10" spans="1:9" x14ac:dyDescent="0.2">
      <c r="B10" s="111">
        <v>42018</v>
      </c>
      <c r="C10" s="112">
        <v>-5.5019609380000001E-2</v>
      </c>
      <c r="D10" s="112">
        <v>-0.68122231249999998</v>
      </c>
      <c r="G10" s="113">
        <v>42277</v>
      </c>
      <c r="H10" s="114">
        <v>-0.14283446875</v>
      </c>
      <c r="I10" s="114">
        <v>-0.85429743999999996</v>
      </c>
    </row>
    <row r="11" spans="1:9" x14ac:dyDescent="0.2">
      <c r="B11" s="111">
        <v>42019</v>
      </c>
      <c r="C11" s="112">
        <v>-8.2103203129999996E-2</v>
      </c>
      <c r="D11" s="112">
        <v>-0.83970124999999995</v>
      </c>
      <c r="G11" s="113">
        <v>42307</v>
      </c>
      <c r="H11" s="114">
        <v>-0.19821571874999999</v>
      </c>
      <c r="I11" s="114">
        <v>-0.53462206000000001</v>
      </c>
    </row>
    <row r="12" spans="1:9" x14ac:dyDescent="0.2">
      <c r="B12" s="111">
        <v>42020</v>
      </c>
      <c r="C12" s="112">
        <v>-7.415635156E-2</v>
      </c>
      <c r="D12" s="112">
        <v>-1.3446579999999999</v>
      </c>
      <c r="G12" s="113">
        <v>42338</v>
      </c>
      <c r="H12" s="114">
        <v>-0.14391226563000001</v>
      </c>
      <c r="I12" s="114">
        <v>-0.83366793750000001</v>
      </c>
    </row>
    <row r="13" spans="1:9" x14ac:dyDescent="0.2">
      <c r="B13" s="111">
        <v>42024</v>
      </c>
      <c r="C13" s="112">
        <v>-0.13868804688</v>
      </c>
      <c r="D13" s="112">
        <v>-0.81751531249999998</v>
      </c>
      <c r="G13" s="113">
        <v>42369</v>
      </c>
      <c r="H13" s="114">
        <v>-2.2380535159999999E-2</v>
      </c>
      <c r="I13" s="114">
        <v>-0.95443875</v>
      </c>
    </row>
    <row r="14" spans="1:9" x14ac:dyDescent="0.2">
      <c r="B14" s="111">
        <v>42025</v>
      </c>
      <c r="C14" s="112">
        <v>-9.8384414059999994E-2</v>
      </c>
      <c r="D14" s="112">
        <v>-1.1794125</v>
      </c>
      <c r="G14" s="113">
        <v>42398</v>
      </c>
      <c r="H14" s="114">
        <v>-9.0149179689999998E-2</v>
      </c>
      <c r="I14" s="114">
        <v>-0.81902806250000004</v>
      </c>
    </row>
    <row r="15" spans="1:9" x14ac:dyDescent="0.2">
      <c r="B15" s="111">
        <v>42026</v>
      </c>
      <c r="C15" s="112">
        <v>-0.10002236719</v>
      </c>
      <c r="D15" s="112">
        <v>-0.93232081249999998</v>
      </c>
      <c r="G15" s="113">
        <v>42429</v>
      </c>
      <c r="H15" s="114">
        <v>-0.17488993750000001</v>
      </c>
      <c r="I15" s="114">
        <v>-1.1412036249999999</v>
      </c>
    </row>
    <row r="16" spans="1:9" x14ac:dyDescent="0.2">
      <c r="B16" s="111">
        <v>42027</v>
      </c>
      <c r="C16" s="112">
        <v>-0.14197801563000001</v>
      </c>
      <c r="D16" s="112">
        <v>-1.106155625</v>
      </c>
      <c r="G16" s="113">
        <v>42460</v>
      </c>
      <c r="H16" s="114">
        <v>-0.14176670313</v>
      </c>
      <c r="I16" s="114">
        <v>-0.99362443749999996</v>
      </c>
    </row>
    <row r="17" spans="2:9" x14ac:dyDescent="0.2">
      <c r="B17" s="111">
        <v>42030</v>
      </c>
      <c r="C17" s="112">
        <v>-0.10192803125</v>
      </c>
      <c r="D17" s="112">
        <v>-1.1356790000000001</v>
      </c>
      <c r="G17" s="113">
        <v>42489</v>
      </c>
      <c r="H17" s="114">
        <v>-9.3882382809999998E-2</v>
      </c>
      <c r="I17" s="114">
        <v>-0.87595818749999999</v>
      </c>
    </row>
    <row r="18" spans="2:9" x14ac:dyDescent="0.2">
      <c r="B18" s="113">
        <v>42031</v>
      </c>
      <c r="C18" s="114">
        <v>-0.14814589063</v>
      </c>
      <c r="D18" s="114">
        <v>-0.87521174999999996</v>
      </c>
      <c r="G18" s="111"/>
    </row>
    <row r="19" spans="2:9" x14ac:dyDescent="0.2">
      <c r="B19" s="113">
        <v>42032</v>
      </c>
      <c r="C19" s="114">
        <v>-0.13164295312999999</v>
      </c>
      <c r="D19" s="114">
        <v>-1.010243625</v>
      </c>
      <c r="G19" s="111"/>
    </row>
    <row r="20" spans="2:9" x14ac:dyDescent="0.2">
      <c r="B20" s="113">
        <v>42033</v>
      </c>
      <c r="C20" s="114">
        <v>-0.15959520313</v>
      </c>
      <c r="D20" s="114">
        <v>-0.89772712499999996</v>
      </c>
      <c r="G20" s="111"/>
    </row>
    <row r="21" spans="2:9" x14ac:dyDescent="0.2">
      <c r="B21" s="113">
        <v>42034</v>
      </c>
      <c r="C21" s="114">
        <v>-0.15995771875000001</v>
      </c>
      <c r="D21" s="114">
        <v>-0.84633012500000004</v>
      </c>
      <c r="G21" s="111"/>
    </row>
    <row r="22" spans="2:9" x14ac:dyDescent="0.2">
      <c r="B22" s="113">
        <v>42037</v>
      </c>
      <c r="C22" s="114">
        <v>-0.15314314063000001</v>
      </c>
      <c r="D22" s="114">
        <v>-1.0868727499999999</v>
      </c>
      <c r="G22" s="111"/>
    </row>
    <row r="23" spans="2:9" x14ac:dyDescent="0.2">
      <c r="B23" s="113">
        <v>42038</v>
      </c>
      <c r="C23" s="114">
        <v>-0.22472603125000001</v>
      </c>
      <c r="D23" s="114">
        <v>-0.94988737499999998</v>
      </c>
      <c r="G23" s="111"/>
    </row>
    <row r="24" spans="2:9" x14ac:dyDescent="0.2">
      <c r="B24" s="113">
        <v>42039</v>
      </c>
      <c r="C24" s="114">
        <v>-0.27454678124999998</v>
      </c>
      <c r="D24" s="114">
        <v>-0.90129762499999999</v>
      </c>
      <c r="G24" s="111"/>
    </row>
    <row r="25" spans="2:9" x14ac:dyDescent="0.2">
      <c r="B25" s="113">
        <v>42040</v>
      </c>
      <c r="C25" s="114">
        <v>-0.4157880625</v>
      </c>
      <c r="D25" s="114">
        <v>-0.87589906250000005</v>
      </c>
      <c r="G25" s="111"/>
    </row>
    <row r="26" spans="2:9" x14ac:dyDescent="0.2">
      <c r="B26" s="113">
        <v>42041</v>
      </c>
      <c r="C26" s="114">
        <v>-0.33995406249999999</v>
      </c>
      <c r="D26" s="114">
        <v>-1.05763275</v>
      </c>
      <c r="G26" s="111"/>
    </row>
    <row r="27" spans="2:9" x14ac:dyDescent="0.2">
      <c r="B27" s="113">
        <v>42044</v>
      </c>
      <c r="C27" s="114">
        <v>-0.26418928125000002</v>
      </c>
      <c r="D27" s="114">
        <v>-1.03365886938</v>
      </c>
      <c r="G27" s="111"/>
    </row>
    <row r="28" spans="2:9" x14ac:dyDescent="0.2">
      <c r="B28" s="113">
        <v>42045</v>
      </c>
      <c r="C28" s="114">
        <v>-0.22164790625</v>
      </c>
      <c r="D28" s="114">
        <v>-1.19118609576</v>
      </c>
      <c r="G28" s="111"/>
    </row>
    <row r="29" spans="2:9" x14ac:dyDescent="0.2">
      <c r="B29" s="113">
        <v>42046</v>
      </c>
      <c r="C29" s="114">
        <v>-0.16986890625000001</v>
      </c>
      <c r="D29" s="114">
        <v>-1.5746486454599999</v>
      </c>
      <c r="G29" s="111"/>
    </row>
    <row r="30" spans="2:9" x14ac:dyDescent="0.2">
      <c r="B30" s="113">
        <v>42047</v>
      </c>
      <c r="C30" s="114">
        <v>-2.0920494999999999</v>
      </c>
      <c r="D30" s="114">
        <v>-0.97732012333999996</v>
      </c>
      <c r="G30" s="111"/>
    </row>
    <row r="31" spans="2:9" x14ac:dyDescent="0.2">
      <c r="B31" s="113">
        <v>42048</v>
      </c>
      <c r="C31" s="114">
        <v>-6.4070222659999995E-2</v>
      </c>
      <c r="D31" s="114">
        <v>-0.90374288882999998</v>
      </c>
      <c r="G31" s="111"/>
    </row>
    <row r="32" spans="2:9" x14ac:dyDescent="0.2">
      <c r="B32" s="113">
        <v>42052</v>
      </c>
      <c r="C32" s="114">
        <v>-0.14400293750000001</v>
      </c>
      <c r="D32" s="114">
        <v>-0.87609878188000001</v>
      </c>
      <c r="G32" s="111"/>
    </row>
    <row r="33" spans="2:7" x14ac:dyDescent="0.2">
      <c r="B33" s="113">
        <v>42053</v>
      </c>
      <c r="C33" s="114">
        <v>-0.16415909375000001</v>
      </c>
      <c r="D33" s="114">
        <v>-0.82307214708999998</v>
      </c>
      <c r="G33" s="111"/>
    </row>
    <row r="34" spans="2:7" x14ac:dyDescent="0.2">
      <c r="B34" s="113">
        <v>42054</v>
      </c>
      <c r="C34" s="114">
        <v>-0.13022092188000001</v>
      </c>
      <c r="D34" s="114">
        <v>-0.85454704794000003</v>
      </c>
      <c r="G34" s="111"/>
    </row>
    <row r="35" spans="2:7" x14ac:dyDescent="0.2">
      <c r="B35" s="113">
        <v>42055</v>
      </c>
      <c r="C35" s="114">
        <v>-0.15972634375</v>
      </c>
      <c r="D35" s="114">
        <v>-0.87184267505000002</v>
      </c>
      <c r="G35" s="111"/>
    </row>
    <row r="36" spans="2:7" x14ac:dyDescent="0.2">
      <c r="B36" s="113">
        <v>42058</v>
      </c>
      <c r="C36" s="114">
        <v>-9.6042992189999996E-2</v>
      </c>
      <c r="D36" s="114">
        <v>-1.17989462854</v>
      </c>
      <c r="G36" s="111"/>
    </row>
    <row r="37" spans="2:7" x14ac:dyDescent="0.2">
      <c r="B37" s="113">
        <v>42059</v>
      </c>
      <c r="C37" s="114">
        <v>-0.12831598438</v>
      </c>
      <c r="D37" s="114">
        <v>-1.1256309411100001</v>
      </c>
      <c r="G37" s="111"/>
    </row>
    <row r="38" spans="2:7" x14ac:dyDescent="0.2">
      <c r="B38" s="113">
        <v>42060</v>
      </c>
      <c r="C38" s="114">
        <v>-0.14825228125000001</v>
      </c>
      <c r="D38" s="114">
        <v>-0.97157952573999995</v>
      </c>
      <c r="G38" s="111"/>
    </row>
    <row r="39" spans="2:7" x14ac:dyDescent="0.2">
      <c r="B39" s="113">
        <v>42061</v>
      </c>
      <c r="C39" s="114">
        <v>-0.11471615625000001</v>
      </c>
      <c r="D39" s="114">
        <v>-1.24801321929</v>
      </c>
      <c r="G39" s="111"/>
    </row>
    <row r="40" spans="2:7" x14ac:dyDescent="0.2">
      <c r="B40" s="113">
        <v>42062</v>
      </c>
      <c r="C40" s="114">
        <v>-0.16963134375</v>
      </c>
      <c r="D40" s="114">
        <v>-1.21103999372</v>
      </c>
      <c r="G40" s="111"/>
    </row>
    <row r="41" spans="2:7" x14ac:dyDescent="0.2">
      <c r="B41" s="113">
        <v>42065</v>
      </c>
      <c r="C41" s="114">
        <v>-0.17486112500000001</v>
      </c>
      <c r="D41" s="114">
        <v>-1.2017909741199999</v>
      </c>
      <c r="G41" s="111"/>
    </row>
    <row r="42" spans="2:7" x14ac:dyDescent="0.2">
      <c r="B42" s="113">
        <v>42066</v>
      </c>
      <c r="C42" s="114">
        <v>-0.19213514063000001</v>
      </c>
      <c r="D42" s="114">
        <v>-1.16962454991</v>
      </c>
      <c r="G42" s="111"/>
    </row>
    <row r="43" spans="2:7" x14ac:dyDescent="0.2">
      <c r="B43" s="113">
        <v>42067</v>
      </c>
      <c r="C43" s="114">
        <v>-0.13800360938</v>
      </c>
      <c r="D43" s="114">
        <v>-1.2014990506500001</v>
      </c>
      <c r="G43" s="111"/>
    </row>
    <row r="44" spans="2:7" x14ac:dyDescent="0.2">
      <c r="B44" s="113">
        <v>42068</v>
      </c>
      <c r="C44" s="114">
        <v>-0.13341365625000001</v>
      </c>
      <c r="D44" s="114">
        <v>-1.2066035633300001</v>
      </c>
      <c r="G44" s="111"/>
    </row>
    <row r="45" spans="2:7" x14ac:dyDescent="0.2">
      <c r="B45" s="113">
        <v>42069</v>
      </c>
      <c r="C45" s="114">
        <v>-0.18840665625</v>
      </c>
      <c r="D45" s="114">
        <v>-1.1866602072700001</v>
      </c>
      <c r="G45" s="111"/>
    </row>
    <row r="46" spans="2:7" x14ac:dyDescent="0.2">
      <c r="B46" s="113">
        <v>42072</v>
      </c>
      <c r="C46" s="114">
        <v>-0.12904878906</v>
      </c>
      <c r="D46" s="114">
        <v>-1.29600114214</v>
      </c>
      <c r="G46" s="111"/>
    </row>
    <row r="47" spans="2:7" x14ac:dyDescent="0.2">
      <c r="B47" s="113">
        <v>42073</v>
      </c>
      <c r="C47" s="114">
        <v>-0.19031053125</v>
      </c>
      <c r="D47" s="114">
        <v>-1.20246965479</v>
      </c>
      <c r="G47" s="111"/>
    </row>
    <row r="48" spans="2:7" x14ac:dyDescent="0.2">
      <c r="B48" s="113">
        <v>42074</v>
      </c>
      <c r="C48" s="114">
        <v>-0.10432486719</v>
      </c>
      <c r="D48" s="114">
        <v>-1.3257352545600001</v>
      </c>
      <c r="G48" s="111"/>
    </row>
    <row r="49" spans="2:7" x14ac:dyDescent="0.2">
      <c r="B49" s="113">
        <v>42075</v>
      </c>
      <c r="C49" s="114">
        <v>-9.9213671880000007E-2</v>
      </c>
      <c r="D49" s="114">
        <v>-1.24907471419</v>
      </c>
      <c r="G49" s="111"/>
    </row>
    <row r="50" spans="2:7" x14ac:dyDescent="0.2">
      <c r="B50" s="113">
        <v>42076</v>
      </c>
      <c r="C50" s="114">
        <v>-6.6440773440000003E-2</v>
      </c>
      <c r="D50" s="114">
        <v>-1.1310500209000001</v>
      </c>
      <c r="G50" s="111"/>
    </row>
    <row r="51" spans="2:7" x14ac:dyDescent="0.2">
      <c r="B51" s="113">
        <v>42079</v>
      </c>
      <c r="C51" s="114">
        <v>-9.7038531250000004E-2</v>
      </c>
      <c r="D51" s="114">
        <v>-1.1909511349399999</v>
      </c>
      <c r="G51" s="111"/>
    </row>
    <row r="52" spans="2:7" x14ac:dyDescent="0.2">
      <c r="B52" s="113">
        <v>42080</v>
      </c>
      <c r="C52" s="114">
        <v>-7.3505023439999997E-2</v>
      </c>
      <c r="D52" s="114">
        <v>-1.1569084827</v>
      </c>
      <c r="G52" s="111"/>
    </row>
    <row r="53" spans="2:7" x14ac:dyDescent="0.2">
      <c r="B53" s="113">
        <v>42081</v>
      </c>
      <c r="C53" s="114">
        <v>-7.7999421880000003E-2</v>
      </c>
      <c r="D53" s="114">
        <v>-1.2274518639400001</v>
      </c>
      <c r="G53" s="111"/>
    </row>
    <row r="54" spans="2:7" x14ac:dyDescent="0.2">
      <c r="B54" s="113">
        <v>42082</v>
      </c>
      <c r="C54" s="114">
        <v>-0.13679490624999999</v>
      </c>
      <c r="D54" s="114">
        <v>-1.0869584246799999</v>
      </c>
      <c r="G54" s="111"/>
    </row>
    <row r="55" spans="2:7" x14ac:dyDescent="0.2">
      <c r="B55" s="113">
        <v>42083</v>
      </c>
      <c r="C55" s="114">
        <v>-0.12460525780999999</v>
      </c>
      <c r="D55" s="114">
        <v>-1.12096408772</v>
      </c>
      <c r="G55" s="111"/>
    </row>
    <row r="56" spans="2:7" x14ac:dyDescent="0.2">
      <c r="B56" s="113">
        <v>42086</v>
      </c>
      <c r="C56" s="114">
        <v>-0.10193332813</v>
      </c>
      <c r="D56" s="114">
        <v>-1.02035272518</v>
      </c>
      <c r="G56" s="111"/>
    </row>
    <row r="57" spans="2:7" x14ac:dyDescent="0.2">
      <c r="B57" s="113">
        <v>42087</v>
      </c>
      <c r="C57" s="114">
        <v>-0.12909003124999999</v>
      </c>
      <c r="D57" s="114">
        <v>-1.0063462159700001</v>
      </c>
      <c r="G57" s="111"/>
    </row>
    <row r="58" spans="2:7" x14ac:dyDescent="0.2">
      <c r="B58" s="113">
        <v>42088</v>
      </c>
      <c r="C58" s="114">
        <v>-0.11008683594</v>
      </c>
      <c r="D58" s="114">
        <v>-0.98305988035000003</v>
      </c>
      <c r="G58" s="111"/>
    </row>
    <row r="59" spans="2:7" x14ac:dyDescent="0.2">
      <c r="B59" s="113">
        <v>42089</v>
      </c>
      <c r="C59" s="114">
        <v>-0.1240614375</v>
      </c>
      <c r="D59" s="114">
        <v>-1.1174104449</v>
      </c>
      <c r="G59" s="111"/>
    </row>
    <row r="60" spans="2:7" x14ac:dyDescent="0.2">
      <c r="B60" s="113">
        <v>42090</v>
      </c>
      <c r="C60" s="114">
        <v>-0.11548251563</v>
      </c>
      <c r="D60" s="114">
        <v>-1.16716913522</v>
      </c>
      <c r="G60" s="111"/>
    </row>
    <row r="61" spans="2:7" x14ac:dyDescent="0.2">
      <c r="B61" s="113">
        <v>42093</v>
      </c>
      <c r="C61" s="114">
        <v>-0.20080657813</v>
      </c>
      <c r="D61" s="114">
        <v>-1.1103127827199999</v>
      </c>
      <c r="G61" s="111"/>
    </row>
    <row r="62" spans="2:7" x14ac:dyDescent="0.2">
      <c r="B62" s="113">
        <v>42094</v>
      </c>
      <c r="C62" s="114">
        <v>-4.8132296880000001E-2</v>
      </c>
      <c r="D62" s="114">
        <v>-1.2122087660200001</v>
      </c>
      <c r="G62" s="111"/>
    </row>
    <row r="63" spans="2:7" x14ac:dyDescent="0.2">
      <c r="B63" s="113">
        <v>42095</v>
      </c>
      <c r="C63" s="114">
        <v>-9.0227320309999998E-2</v>
      </c>
      <c r="D63" s="114">
        <v>-1.21796194649</v>
      </c>
      <c r="G63" s="111"/>
    </row>
    <row r="64" spans="2:7" x14ac:dyDescent="0.2">
      <c r="B64" s="113">
        <v>42096</v>
      </c>
      <c r="C64" s="114">
        <v>-0.18955370313</v>
      </c>
      <c r="D64" s="114">
        <v>-1.19487063494</v>
      </c>
      <c r="G64" s="111"/>
    </row>
    <row r="65" spans="2:7" x14ac:dyDescent="0.2">
      <c r="B65" s="113">
        <v>42097</v>
      </c>
      <c r="C65" s="114">
        <v>-0.19561821874999999</v>
      </c>
      <c r="D65" s="114">
        <v>-1.17481012461</v>
      </c>
      <c r="G65" s="111"/>
    </row>
    <row r="66" spans="2:7" x14ac:dyDescent="0.2">
      <c r="B66" s="113">
        <v>42100</v>
      </c>
      <c r="C66" s="114">
        <v>-0.26805756250000001</v>
      </c>
      <c r="D66" s="114">
        <v>-1.49539529458</v>
      </c>
      <c r="G66" s="111"/>
    </row>
    <row r="67" spans="2:7" x14ac:dyDescent="0.2">
      <c r="B67" s="113">
        <v>42101</v>
      </c>
      <c r="C67" s="114">
        <v>-0.20004420312999999</v>
      </c>
      <c r="D67" s="114">
        <v>-1.41702004853</v>
      </c>
      <c r="G67" s="111"/>
    </row>
    <row r="68" spans="2:7" x14ac:dyDescent="0.2">
      <c r="B68" s="113">
        <v>42102</v>
      </c>
      <c r="C68" s="114">
        <v>-0.12744014063</v>
      </c>
      <c r="D68" s="114">
        <v>-1.40150024156</v>
      </c>
      <c r="G68" s="111"/>
    </row>
    <row r="69" spans="2:7" x14ac:dyDescent="0.2">
      <c r="B69" s="113">
        <v>42103</v>
      </c>
      <c r="C69" s="114">
        <v>-0.22876709375000001</v>
      </c>
      <c r="D69" s="114">
        <v>-0.97591675</v>
      </c>
      <c r="G69" s="111"/>
    </row>
    <row r="70" spans="2:7" x14ac:dyDescent="0.2">
      <c r="B70" s="113">
        <v>42104</v>
      </c>
      <c r="C70" s="114">
        <v>-0.42491487500000003</v>
      </c>
      <c r="D70" s="114">
        <v>-1.0562523749999999</v>
      </c>
      <c r="G70" s="111"/>
    </row>
    <row r="71" spans="2:7" x14ac:dyDescent="0.2">
      <c r="B71" s="113">
        <v>42107</v>
      </c>
      <c r="C71" s="114">
        <v>-0.37078978125000001</v>
      </c>
      <c r="D71" s="114">
        <v>-1.087393625</v>
      </c>
      <c r="G71" s="111"/>
    </row>
    <row r="72" spans="2:7" x14ac:dyDescent="0.2">
      <c r="B72" s="113">
        <v>42108</v>
      </c>
      <c r="C72" s="114">
        <v>-0.36186040624999999</v>
      </c>
      <c r="D72" s="114">
        <v>-0.93150975000000003</v>
      </c>
      <c r="G72" s="111"/>
    </row>
    <row r="73" spans="2:7" x14ac:dyDescent="0.2">
      <c r="B73" s="113">
        <v>42109</v>
      </c>
      <c r="C73" s="114">
        <v>-0.29704034374999999</v>
      </c>
      <c r="D73" s="114">
        <v>-1.0105498125000001</v>
      </c>
      <c r="G73" s="111"/>
    </row>
    <row r="74" spans="2:7" x14ac:dyDescent="0.2">
      <c r="B74" s="113">
        <v>42110</v>
      </c>
      <c r="C74" s="114">
        <v>-0.29696296875</v>
      </c>
      <c r="D74" s="114">
        <v>-1.086578125</v>
      </c>
      <c r="G74" s="111"/>
    </row>
    <row r="75" spans="2:7" x14ac:dyDescent="0.2">
      <c r="B75" s="113">
        <v>42111</v>
      </c>
      <c r="C75" s="114">
        <v>-0.21944879687999999</v>
      </c>
      <c r="D75" s="114">
        <v>-1.0499805</v>
      </c>
      <c r="G75" s="111"/>
    </row>
    <row r="76" spans="2:7" x14ac:dyDescent="0.2">
      <c r="B76" s="113">
        <v>42114</v>
      </c>
      <c r="C76" s="114">
        <v>-0.15520437500000001</v>
      </c>
      <c r="D76" s="114">
        <v>-0.92944668750000003</v>
      </c>
      <c r="G76" s="111"/>
    </row>
    <row r="77" spans="2:7" x14ac:dyDescent="0.2">
      <c r="B77" s="113">
        <v>42115</v>
      </c>
      <c r="C77" s="114">
        <v>-0.13725426563000001</v>
      </c>
      <c r="D77" s="114">
        <v>-0.88285881249999998</v>
      </c>
      <c r="G77" s="111"/>
    </row>
    <row r="78" spans="2:7" x14ac:dyDescent="0.2">
      <c r="B78" s="113">
        <v>42116</v>
      </c>
      <c r="C78" s="114">
        <v>-0.19484632813</v>
      </c>
      <c r="D78" s="114">
        <v>-0.87697743750000001</v>
      </c>
      <c r="G78" s="111"/>
    </row>
    <row r="79" spans="2:7" x14ac:dyDescent="0.2">
      <c r="B79" s="113">
        <v>42117</v>
      </c>
      <c r="C79" s="114">
        <v>-0.35050924999999999</v>
      </c>
      <c r="D79" s="114">
        <v>-0.96576050000000002</v>
      </c>
      <c r="G79" s="111"/>
    </row>
    <row r="80" spans="2:7" x14ac:dyDescent="0.2">
      <c r="B80" s="113">
        <v>42118</v>
      </c>
      <c r="C80" s="114">
        <v>-0.12971542968999999</v>
      </c>
      <c r="D80" s="114">
        <v>-0.99219956249999997</v>
      </c>
      <c r="G80" s="111"/>
    </row>
    <row r="81" spans="2:7" x14ac:dyDescent="0.2">
      <c r="B81" s="113">
        <v>42121</v>
      </c>
      <c r="C81" s="114">
        <v>-0.15582282813000001</v>
      </c>
      <c r="D81" s="114">
        <v>-0.99392806249999999</v>
      </c>
      <c r="G81" s="111"/>
    </row>
    <row r="82" spans="2:7" x14ac:dyDescent="0.2">
      <c r="B82" s="113">
        <v>42122</v>
      </c>
      <c r="C82" s="114">
        <v>-0.18829503124999999</v>
      </c>
      <c r="D82" s="114">
        <v>-0.99573425000000004</v>
      </c>
      <c r="G82" s="111"/>
    </row>
    <row r="83" spans="2:7" x14ac:dyDescent="0.2">
      <c r="B83" s="113">
        <v>42123</v>
      </c>
      <c r="C83" s="114">
        <v>-0.20193595313000001</v>
      </c>
      <c r="D83" s="114">
        <v>-1.0561411249999999</v>
      </c>
      <c r="G83" s="111"/>
    </row>
    <row r="84" spans="2:7" x14ac:dyDescent="0.2">
      <c r="B84" s="113">
        <v>42124</v>
      </c>
      <c r="C84" s="114">
        <v>-0.19299235938000001</v>
      </c>
      <c r="D84" s="114">
        <v>-1.09854275</v>
      </c>
    </row>
    <row r="85" spans="2:7" x14ac:dyDescent="0.2">
      <c r="B85" s="113">
        <v>42125</v>
      </c>
      <c r="C85" s="114">
        <v>-0.19374028125000001</v>
      </c>
      <c r="D85" s="114">
        <v>-1.1932731299999999</v>
      </c>
    </row>
    <row r="86" spans="2:7" x14ac:dyDescent="0.2">
      <c r="B86" s="113">
        <v>42128</v>
      </c>
      <c r="C86" s="114">
        <v>-0.22247876562999999</v>
      </c>
      <c r="D86" s="114">
        <v>-1.4155040000000001</v>
      </c>
    </row>
    <row r="87" spans="2:7" x14ac:dyDescent="0.2">
      <c r="B87" s="113">
        <v>42129</v>
      </c>
      <c r="C87" s="114">
        <v>-0.23638999999999999</v>
      </c>
      <c r="D87" s="114">
        <v>-1.5890232500000001</v>
      </c>
    </row>
    <row r="88" spans="2:7" x14ac:dyDescent="0.2">
      <c r="B88" s="113">
        <v>42130</v>
      </c>
      <c r="C88" s="114">
        <v>-0.28643768749999998</v>
      </c>
      <c r="D88" s="114">
        <v>-1.3260732500000001</v>
      </c>
    </row>
    <row r="89" spans="2:7" x14ac:dyDescent="0.2">
      <c r="B89" s="113">
        <v>42131</v>
      </c>
      <c r="C89" s="114">
        <v>-0.22980429688000001</v>
      </c>
      <c r="D89" s="114">
        <v>-0.93234243999999999</v>
      </c>
    </row>
    <row r="90" spans="2:7" x14ac:dyDescent="0.2">
      <c r="B90" s="113">
        <v>42132</v>
      </c>
      <c r="C90" s="114">
        <v>-0.24236960937999999</v>
      </c>
      <c r="D90" s="114">
        <v>-0.92732550000000002</v>
      </c>
    </row>
    <row r="91" spans="2:7" x14ac:dyDescent="0.2">
      <c r="B91" s="113">
        <v>42135</v>
      </c>
      <c r="C91" s="114">
        <v>-0.21739343750000001</v>
      </c>
      <c r="D91" s="114">
        <v>-1.04964013</v>
      </c>
    </row>
    <row r="92" spans="2:7" x14ac:dyDescent="0.2">
      <c r="B92" s="113">
        <v>42136</v>
      </c>
      <c r="C92" s="114">
        <v>-0.22556725</v>
      </c>
      <c r="D92" s="114">
        <v>-1.7224035</v>
      </c>
    </row>
    <row r="93" spans="2:7" x14ac:dyDescent="0.2">
      <c r="B93" s="113">
        <v>42137</v>
      </c>
      <c r="C93" s="114">
        <v>-0.16504209375000001</v>
      </c>
      <c r="D93" s="114">
        <v>-1.5804685000000001</v>
      </c>
    </row>
    <row r="94" spans="2:7" x14ac:dyDescent="0.2">
      <c r="B94" s="113">
        <v>42138</v>
      </c>
      <c r="C94" s="114">
        <v>-0.17805365625</v>
      </c>
      <c r="D94" s="114">
        <v>-1.50580125</v>
      </c>
    </row>
    <row r="95" spans="2:7" x14ac:dyDescent="0.2">
      <c r="B95" s="113">
        <v>42139</v>
      </c>
      <c r="C95" s="114">
        <v>-0.18295646874999999</v>
      </c>
      <c r="D95" s="114">
        <v>-1.3011613799999999</v>
      </c>
    </row>
    <row r="96" spans="2:7" x14ac:dyDescent="0.2">
      <c r="B96" s="113">
        <v>42142</v>
      </c>
      <c r="C96" s="114">
        <v>-0.2255680625</v>
      </c>
      <c r="D96" s="114">
        <v>-1.3184083799999999</v>
      </c>
    </row>
    <row r="97" spans="2:4" x14ac:dyDescent="0.2">
      <c r="B97" s="113">
        <v>42143</v>
      </c>
      <c r="C97" s="114">
        <v>-0.17911931249999999</v>
      </c>
      <c r="D97" s="114">
        <v>-1.233152</v>
      </c>
    </row>
    <row r="98" spans="2:4" x14ac:dyDescent="0.2">
      <c r="B98" s="113">
        <v>42144</v>
      </c>
      <c r="C98" s="114">
        <v>-0.21469320313000001</v>
      </c>
      <c r="D98" s="114">
        <v>-0.92387680999999999</v>
      </c>
    </row>
    <row r="99" spans="2:4" x14ac:dyDescent="0.2">
      <c r="B99" s="113">
        <v>42145</v>
      </c>
      <c r="C99" s="114">
        <v>-0.19582146875000001</v>
      </c>
      <c r="D99" s="114">
        <v>-0.90524119000000003</v>
      </c>
    </row>
    <row r="100" spans="2:4" x14ac:dyDescent="0.2">
      <c r="B100" s="113">
        <v>42146</v>
      </c>
      <c r="C100" s="114">
        <v>-0.19550640624999999</v>
      </c>
      <c r="D100" s="114">
        <v>-0.85237487999999995</v>
      </c>
    </row>
    <row r="101" spans="2:4" x14ac:dyDescent="0.2">
      <c r="B101" s="113">
        <v>42150</v>
      </c>
      <c r="C101" s="114">
        <v>-0.18026826563000001</v>
      </c>
      <c r="D101" s="114">
        <v>-0.75697718999999997</v>
      </c>
    </row>
    <row r="102" spans="2:4" x14ac:dyDescent="0.2">
      <c r="B102" s="113">
        <v>42151</v>
      </c>
      <c r="C102" s="114">
        <v>-0.14600589063</v>
      </c>
      <c r="D102" s="114">
        <v>-0.92359588000000004</v>
      </c>
    </row>
    <row r="103" spans="2:4" x14ac:dyDescent="0.2">
      <c r="B103" s="113">
        <v>42152</v>
      </c>
      <c r="C103" s="114">
        <v>-0.15827178124999999</v>
      </c>
      <c r="D103" s="114">
        <v>-0.80404931000000002</v>
      </c>
    </row>
    <row r="104" spans="2:4" x14ac:dyDescent="0.2">
      <c r="B104" s="113">
        <v>42153</v>
      </c>
      <c r="C104" s="114">
        <v>-0.29383668750000003</v>
      </c>
      <c r="D104" s="114">
        <v>-0.95588318999999999</v>
      </c>
    </row>
    <row r="105" spans="2:4" x14ac:dyDescent="0.2">
      <c r="B105" s="113">
        <v>42156</v>
      </c>
      <c r="C105" s="114">
        <v>-0.37852849999999999</v>
      </c>
      <c r="D105" s="114">
        <v>-0.90254981000000001</v>
      </c>
    </row>
    <row r="106" spans="2:4" x14ac:dyDescent="0.2">
      <c r="B106" s="113">
        <v>42157</v>
      </c>
      <c r="C106" s="114">
        <v>-0.29274140625</v>
      </c>
      <c r="D106" s="114">
        <v>-0.92719956000000003</v>
      </c>
    </row>
    <row r="107" spans="2:4" x14ac:dyDescent="0.2">
      <c r="B107" s="113">
        <v>42158</v>
      </c>
      <c r="C107" s="114">
        <v>-0.16702771875</v>
      </c>
      <c r="D107" s="114">
        <v>-1.08274738</v>
      </c>
    </row>
    <row r="108" spans="2:4" x14ac:dyDescent="0.2">
      <c r="B108" s="113">
        <v>42159</v>
      </c>
      <c r="C108" s="114">
        <v>-0.27445843749999999</v>
      </c>
      <c r="D108" s="114">
        <v>-1.06349775</v>
      </c>
    </row>
    <row r="109" spans="2:4" x14ac:dyDescent="0.2">
      <c r="B109" s="113">
        <v>42160</v>
      </c>
      <c r="C109" s="114">
        <v>-0.26979187500000001</v>
      </c>
      <c r="D109" s="114">
        <v>-1.18520413</v>
      </c>
    </row>
    <row r="110" spans="2:4" x14ac:dyDescent="0.2">
      <c r="B110" s="113">
        <v>42163</v>
      </c>
      <c r="C110" s="114">
        <v>-0.26183679688</v>
      </c>
      <c r="D110" s="114">
        <v>-0.96376574999999998</v>
      </c>
    </row>
    <row r="111" spans="2:4" x14ac:dyDescent="0.2">
      <c r="B111" s="113">
        <v>42164</v>
      </c>
      <c r="C111" s="114">
        <v>-0.22872453125</v>
      </c>
      <c r="D111" s="114">
        <v>-0.85878988000000001</v>
      </c>
    </row>
    <row r="112" spans="2:4" x14ac:dyDescent="0.2">
      <c r="B112" s="113">
        <v>42165</v>
      </c>
      <c r="C112" s="114">
        <v>-0.281543875</v>
      </c>
      <c r="D112" s="114">
        <v>-0.95081331000000002</v>
      </c>
    </row>
    <row r="113" spans="2:4" x14ac:dyDescent="0.2">
      <c r="B113" s="113">
        <v>42166</v>
      </c>
      <c r="C113" s="114">
        <v>-0.20477270313000001</v>
      </c>
      <c r="D113" s="114">
        <v>-0.84068394000000002</v>
      </c>
    </row>
    <row r="114" spans="2:4" x14ac:dyDescent="0.2">
      <c r="B114" s="113">
        <v>42167</v>
      </c>
      <c r="C114" s="114">
        <v>-0.22334518749999999</v>
      </c>
      <c r="D114" s="114">
        <v>-0.8266365</v>
      </c>
    </row>
    <row r="115" spans="2:4" x14ac:dyDescent="0.2">
      <c r="B115" s="113">
        <v>42170</v>
      </c>
      <c r="C115" s="114">
        <v>-0.22158076563000001</v>
      </c>
      <c r="D115" s="114">
        <v>-1.002874</v>
      </c>
    </row>
    <row r="116" spans="2:4" x14ac:dyDescent="0.2">
      <c r="B116" s="113">
        <v>42171</v>
      </c>
      <c r="C116" s="114">
        <v>-0.20033932812999999</v>
      </c>
      <c r="D116" s="114">
        <v>-0.93818769000000002</v>
      </c>
    </row>
    <row r="117" spans="2:4" x14ac:dyDescent="0.2">
      <c r="B117" s="113">
        <v>42172</v>
      </c>
      <c r="C117" s="114">
        <v>-0.22881346875</v>
      </c>
      <c r="D117" s="114">
        <v>-0.76341756000000005</v>
      </c>
    </row>
    <row r="118" spans="2:4" x14ac:dyDescent="0.2">
      <c r="B118" s="113">
        <v>42173</v>
      </c>
      <c r="C118" s="114">
        <v>-0.14968695312999999</v>
      </c>
      <c r="D118" s="114">
        <v>-0.80845230999999995</v>
      </c>
    </row>
    <row r="119" spans="2:4" x14ac:dyDescent="0.2">
      <c r="B119" s="113">
        <v>42174</v>
      </c>
      <c r="C119" s="114">
        <v>-0.17295778125</v>
      </c>
      <c r="D119" s="114">
        <v>-0.81689413</v>
      </c>
    </row>
    <row r="120" spans="2:4" x14ac:dyDescent="0.2">
      <c r="B120" s="113">
        <v>42177</v>
      </c>
      <c r="C120" s="114">
        <v>-0.22372004688</v>
      </c>
      <c r="D120" s="114">
        <v>-0.77137719000000005</v>
      </c>
    </row>
    <row r="121" spans="2:4" x14ac:dyDescent="0.2">
      <c r="B121" s="113">
        <v>42178</v>
      </c>
      <c r="C121" s="114">
        <v>-0.1298436875</v>
      </c>
      <c r="D121" s="114">
        <v>-0.89525637999999996</v>
      </c>
    </row>
    <row r="122" spans="2:4" x14ac:dyDescent="0.2">
      <c r="B122" s="113">
        <v>42179</v>
      </c>
      <c r="C122" s="114">
        <v>-9.3675132810000006E-2</v>
      </c>
      <c r="D122" s="114">
        <v>-0.84836012999999999</v>
      </c>
    </row>
    <row r="123" spans="2:4" x14ac:dyDescent="0.2">
      <c r="B123" s="113">
        <v>42180</v>
      </c>
      <c r="C123" s="114">
        <v>-0.18274078125000001</v>
      </c>
      <c r="D123" s="114">
        <v>-0.72623188000000005</v>
      </c>
    </row>
    <row r="124" spans="2:4" x14ac:dyDescent="0.2">
      <c r="B124" s="113">
        <v>42181</v>
      </c>
      <c r="C124" s="114">
        <v>-0.13786790625000001</v>
      </c>
      <c r="D124" s="114">
        <v>-0.71525450000000002</v>
      </c>
    </row>
    <row r="125" spans="2:4" x14ac:dyDescent="0.2">
      <c r="B125" s="113">
        <v>42184</v>
      </c>
      <c r="C125" s="114">
        <v>-0.20440879687999999</v>
      </c>
      <c r="D125" s="114">
        <v>-0.66800269000000001</v>
      </c>
    </row>
    <row r="126" spans="2:4" x14ac:dyDescent="0.2">
      <c r="B126" s="113">
        <v>42185</v>
      </c>
      <c r="C126" s="114">
        <v>-0.11167168750000001</v>
      </c>
      <c r="D126" s="114">
        <v>-0.81033831000000001</v>
      </c>
    </row>
    <row r="127" spans="2:4" x14ac:dyDescent="0.2">
      <c r="B127" s="113">
        <v>42186</v>
      </c>
      <c r="C127" s="114">
        <v>-9.4959359379999997E-2</v>
      </c>
      <c r="D127" s="114">
        <v>-0.79346125000000001</v>
      </c>
    </row>
    <row r="128" spans="2:4" x14ac:dyDescent="0.2">
      <c r="B128" s="113">
        <v>42187</v>
      </c>
      <c r="C128" s="114">
        <v>-0.31827671875000002</v>
      </c>
      <c r="D128" s="114">
        <v>-0.76002650000000005</v>
      </c>
    </row>
    <row r="129" spans="2:4" x14ac:dyDescent="0.2">
      <c r="B129" s="113">
        <v>42188</v>
      </c>
      <c r="C129" s="114">
        <v>-0.10038343750000001</v>
      </c>
      <c r="D129" s="114">
        <v>-0.78134188000000004</v>
      </c>
    </row>
    <row r="130" spans="2:4" x14ac:dyDescent="0.2">
      <c r="B130" s="113">
        <v>42191</v>
      </c>
      <c r="C130" s="114">
        <v>-0.16762679688000001</v>
      </c>
      <c r="D130" s="114">
        <v>-0.77471555999999997</v>
      </c>
    </row>
    <row r="131" spans="2:4" x14ac:dyDescent="0.2">
      <c r="B131" s="113">
        <v>42192</v>
      </c>
      <c r="C131" s="114">
        <v>-0.16255551563000001</v>
      </c>
      <c r="D131" s="114">
        <v>-0.76777687999999999</v>
      </c>
    </row>
    <row r="132" spans="2:4" x14ac:dyDescent="0.2">
      <c r="B132" s="113">
        <v>42193</v>
      </c>
      <c r="C132" s="114">
        <v>-0.21524484375</v>
      </c>
      <c r="D132" s="114">
        <v>-0.76854005999999997</v>
      </c>
    </row>
    <row r="133" spans="2:4" x14ac:dyDescent="0.2">
      <c r="B133" s="113">
        <v>42194</v>
      </c>
      <c r="C133" s="114">
        <v>-0.14902764063000001</v>
      </c>
      <c r="D133" s="114">
        <v>-0.76023881000000004</v>
      </c>
    </row>
    <row r="134" spans="2:4" x14ac:dyDescent="0.2">
      <c r="B134" s="113">
        <v>42195</v>
      </c>
      <c r="C134" s="114">
        <v>-0.10443871094</v>
      </c>
      <c r="D134" s="114">
        <v>-0.76305049999999996</v>
      </c>
    </row>
    <row r="135" spans="2:4" x14ac:dyDescent="0.2">
      <c r="B135" s="113">
        <v>42198</v>
      </c>
      <c r="C135" s="114">
        <v>-0.12839687499999999</v>
      </c>
      <c r="D135" s="114">
        <v>-0.74614088000000001</v>
      </c>
    </row>
    <row r="136" spans="2:4" x14ac:dyDescent="0.2">
      <c r="B136" s="113">
        <v>42199</v>
      </c>
      <c r="C136" s="114">
        <v>-0.16066821875000001</v>
      </c>
      <c r="D136" s="114">
        <v>-0.76872280999999998</v>
      </c>
    </row>
    <row r="137" spans="2:4" x14ac:dyDescent="0.2">
      <c r="B137" s="113">
        <v>42200</v>
      </c>
      <c r="C137" s="114">
        <v>-0.12460867187999999</v>
      </c>
      <c r="D137" s="114">
        <v>-0.79331425</v>
      </c>
    </row>
    <row r="138" spans="2:4" x14ac:dyDescent="0.2">
      <c r="B138" s="113">
        <v>42201</v>
      </c>
      <c r="C138" s="114">
        <v>-0.1179918125</v>
      </c>
      <c r="D138" s="114">
        <v>-0.73347543999999998</v>
      </c>
    </row>
    <row r="139" spans="2:4" x14ac:dyDescent="0.2">
      <c r="B139" s="113">
        <v>42202</v>
      </c>
      <c r="C139" s="114">
        <v>-0.10401585156</v>
      </c>
      <c r="D139" s="114">
        <v>-0.62698518999999997</v>
      </c>
    </row>
    <row r="140" spans="2:4" x14ac:dyDescent="0.2">
      <c r="B140" s="113">
        <v>42205</v>
      </c>
      <c r="C140" s="114">
        <v>-0.13455478125000001</v>
      </c>
      <c r="D140" s="114">
        <v>-0.70039868999999999</v>
      </c>
    </row>
    <row r="141" spans="2:4" x14ac:dyDescent="0.2">
      <c r="B141" s="113">
        <v>42206</v>
      </c>
      <c r="C141" s="114">
        <v>-0.15825217187999999</v>
      </c>
      <c r="D141" s="114">
        <v>-0.78074818999999995</v>
      </c>
    </row>
    <row r="142" spans="2:4" x14ac:dyDescent="0.2">
      <c r="B142" s="113">
        <v>42207</v>
      </c>
      <c r="C142" s="114">
        <v>-9.3268781250000002E-2</v>
      </c>
      <c r="D142" s="114">
        <v>-0.61852744000000004</v>
      </c>
    </row>
    <row r="143" spans="2:4" x14ac:dyDescent="0.2">
      <c r="B143" s="113">
        <v>42208</v>
      </c>
      <c r="C143" s="114">
        <v>-9.5270585939999999E-2</v>
      </c>
      <c r="D143" s="114">
        <v>-0.61438000000000004</v>
      </c>
    </row>
    <row r="144" spans="2:4" x14ac:dyDescent="0.2">
      <c r="B144" s="113">
        <v>42209</v>
      </c>
      <c r="C144" s="114">
        <v>-6.7938367190000001E-2</v>
      </c>
      <c r="D144" s="114">
        <v>-0.69692438000000001</v>
      </c>
    </row>
    <row r="145" spans="2:4" x14ac:dyDescent="0.2">
      <c r="B145" s="113">
        <v>42212</v>
      </c>
      <c r="C145" s="114">
        <v>-5.2280144530000003E-2</v>
      </c>
      <c r="D145" s="114">
        <v>-0.72394349999999996</v>
      </c>
    </row>
    <row r="146" spans="2:4" x14ac:dyDescent="0.2">
      <c r="B146" s="113">
        <v>42213</v>
      </c>
      <c r="C146" s="114">
        <v>-5.537695703E-2</v>
      </c>
      <c r="D146" s="114">
        <v>-0.65955606</v>
      </c>
    </row>
    <row r="147" spans="2:4" x14ac:dyDescent="0.2">
      <c r="B147" s="113">
        <v>42214</v>
      </c>
      <c r="C147" s="114">
        <v>-5.7696867190000001E-2</v>
      </c>
      <c r="D147" s="114">
        <v>-0.64794963000000005</v>
      </c>
    </row>
    <row r="148" spans="2:4" x14ac:dyDescent="0.2">
      <c r="B148" s="113">
        <v>42215</v>
      </c>
      <c r="C148" s="114">
        <v>-6.7162656249999994E-2</v>
      </c>
      <c r="D148" s="114">
        <v>-0.68678888000000005</v>
      </c>
    </row>
    <row r="149" spans="2:4" x14ac:dyDescent="0.2">
      <c r="B149" s="113">
        <v>42216</v>
      </c>
      <c r="C149" s="114">
        <v>-6.5460910159999997E-2</v>
      </c>
      <c r="D149" s="114">
        <v>-0.75188843999999999</v>
      </c>
    </row>
    <row r="150" spans="2:4" x14ac:dyDescent="0.2">
      <c r="B150" s="113">
        <v>42219</v>
      </c>
      <c r="C150" s="114">
        <v>-6.0626085939999998E-2</v>
      </c>
      <c r="D150" s="114">
        <v>-0.69133993999999999</v>
      </c>
    </row>
    <row r="151" spans="2:4" x14ac:dyDescent="0.2">
      <c r="B151" s="113">
        <v>42220</v>
      </c>
      <c r="C151" s="114">
        <v>-0.10780499219</v>
      </c>
      <c r="D151" s="114">
        <v>-0.79340624999999998</v>
      </c>
    </row>
    <row r="152" spans="2:4" x14ac:dyDescent="0.2">
      <c r="B152" s="113">
        <v>42221</v>
      </c>
      <c r="C152" s="114">
        <v>-0.13366492188000001</v>
      </c>
      <c r="D152" s="114">
        <v>-0.78488250000000004</v>
      </c>
    </row>
    <row r="153" spans="2:4" x14ac:dyDescent="0.2">
      <c r="B153" s="113">
        <v>42222</v>
      </c>
      <c r="C153" s="114">
        <v>-9.8342484379999998E-2</v>
      </c>
      <c r="D153" s="114">
        <v>-0.72381269000000004</v>
      </c>
    </row>
    <row r="154" spans="2:4" x14ac:dyDescent="0.2">
      <c r="B154" s="113">
        <v>42223</v>
      </c>
      <c r="C154" s="114">
        <v>-0.16398451562999999</v>
      </c>
      <c r="D154" s="114">
        <v>-0.68171088000000002</v>
      </c>
    </row>
    <row r="155" spans="2:4" x14ac:dyDescent="0.2">
      <c r="B155" s="113">
        <v>42226</v>
      </c>
      <c r="C155" s="114">
        <v>-0.10299085156</v>
      </c>
      <c r="D155" s="114">
        <v>-0.68837981000000004</v>
      </c>
    </row>
    <row r="156" spans="2:4" x14ac:dyDescent="0.2">
      <c r="B156" s="113">
        <v>42227</v>
      </c>
      <c r="C156" s="114">
        <v>-0.10614725781000001</v>
      </c>
      <c r="D156" s="114">
        <v>-0.63580006</v>
      </c>
    </row>
    <row r="157" spans="2:4" x14ac:dyDescent="0.2">
      <c r="B157" s="113">
        <v>42228</v>
      </c>
      <c r="C157" s="114">
        <v>-0.11465670313</v>
      </c>
      <c r="D157" s="114">
        <v>-0.83064188000000005</v>
      </c>
    </row>
    <row r="158" spans="2:4" x14ac:dyDescent="0.2">
      <c r="B158" s="113">
        <v>42229</v>
      </c>
      <c r="C158" s="114">
        <v>-7.2569046880000002E-2</v>
      </c>
      <c r="D158" s="114">
        <v>-0.58522218999999998</v>
      </c>
    </row>
    <row r="159" spans="2:4" x14ac:dyDescent="0.2">
      <c r="B159" s="113">
        <v>42230</v>
      </c>
      <c r="C159" s="114">
        <v>-3.444604297E-2</v>
      </c>
      <c r="D159" s="114">
        <v>-0.70091431000000004</v>
      </c>
    </row>
    <row r="160" spans="2:4" x14ac:dyDescent="0.2">
      <c r="B160" s="113">
        <v>42233</v>
      </c>
      <c r="C160" s="114">
        <v>-3.1918675780000003E-2</v>
      </c>
      <c r="D160" s="114">
        <v>-0.59081037999999997</v>
      </c>
    </row>
    <row r="161" spans="2:4" x14ac:dyDescent="0.2">
      <c r="B161" s="113">
        <v>42234</v>
      </c>
      <c r="C161" s="114">
        <v>-4.5486824219999999E-2</v>
      </c>
      <c r="D161" s="114">
        <v>-0.60501925000000001</v>
      </c>
    </row>
    <row r="162" spans="2:4" x14ac:dyDescent="0.2">
      <c r="B162" s="113">
        <v>42235</v>
      </c>
      <c r="C162" s="114">
        <v>-3.5516941410000002E-2</v>
      </c>
      <c r="D162" s="114">
        <v>-0.71914900000000004</v>
      </c>
    </row>
    <row r="163" spans="2:4" x14ac:dyDescent="0.2">
      <c r="B163" s="113">
        <v>42236</v>
      </c>
      <c r="C163" s="114">
        <v>-4.1931609379999998E-2</v>
      </c>
      <c r="D163" s="114">
        <v>-0.62328130999999998</v>
      </c>
    </row>
    <row r="164" spans="2:4" x14ac:dyDescent="0.2">
      <c r="B164" s="113">
        <v>42237</v>
      </c>
      <c r="C164" s="114">
        <v>-8.5098999999999994E-2</v>
      </c>
      <c r="D164" s="114">
        <v>-0.62504419</v>
      </c>
    </row>
    <row r="165" spans="2:4" x14ac:dyDescent="0.2">
      <c r="B165" s="113">
        <v>42240</v>
      </c>
      <c r="C165" s="114">
        <v>-4.613229688E-2</v>
      </c>
      <c r="D165" s="114">
        <v>-0.70641538000000004</v>
      </c>
    </row>
    <row r="166" spans="2:4" x14ac:dyDescent="0.2">
      <c r="B166" s="113">
        <v>42241</v>
      </c>
      <c r="C166" s="114">
        <v>-7.159997656E-2</v>
      </c>
      <c r="D166" s="114">
        <v>-0.70001674999999997</v>
      </c>
    </row>
    <row r="167" spans="2:4" x14ac:dyDescent="0.2">
      <c r="B167" s="113">
        <v>42242</v>
      </c>
      <c r="C167" s="114">
        <v>-4.0170582029999999E-2</v>
      </c>
      <c r="D167" s="114">
        <v>-0.78318831</v>
      </c>
    </row>
    <row r="168" spans="2:4" x14ac:dyDescent="0.2">
      <c r="B168" s="113">
        <v>42243</v>
      </c>
      <c r="C168" s="114">
        <v>-4.3945687499999997E-2</v>
      </c>
      <c r="D168" s="114">
        <v>-0.82042824999999997</v>
      </c>
    </row>
    <row r="169" spans="2:4" x14ac:dyDescent="0.2">
      <c r="B169" s="113">
        <v>42244</v>
      </c>
      <c r="C169" s="114">
        <v>-4.7909886720000003E-2</v>
      </c>
      <c r="D169" s="114">
        <v>-0.89623180999999996</v>
      </c>
    </row>
    <row r="170" spans="2:4" x14ac:dyDescent="0.2">
      <c r="B170" s="113">
        <v>42247</v>
      </c>
      <c r="C170" s="114">
        <v>-8.3031421879999998E-2</v>
      </c>
      <c r="D170" s="114">
        <v>-0.89988656</v>
      </c>
    </row>
    <row r="171" spans="2:4" x14ac:dyDescent="0.2">
      <c r="B171" s="113">
        <v>42248</v>
      </c>
      <c r="C171" s="114">
        <v>-0.10948009374999999</v>
      </c>
      <c r="D171" s="114">
        <v>-0.83032287999999999</v>
      </c>
    </row>
    <row r="172" spans="2:4" x14ac:dyDescent="0.2">
      <c r="B172" s="113">
        <v>42249</v>
      </c>
      <c r="C172" s="114">
        <v>-7.5777757809999999E-2</v>
      </c>
      <c r="D172" s="114">
        <v>-0.92025369000000001</v>
      </c>
    </row>
    <row r="173" spans="2:4" x14ac:dyDescent="0.2">
      <c r="B173" s="113">
        <v>42250</v>
      </c>
      <c r="C173" s="114">
        <v>-5.9221265629999999E-2</v>
      </c>
      <c r="D173" s="114">
        <v>-1.17489913</v>
      </c>
    </row>
    <row r="174" spans="2:4" x14ac:dyDescent="0.2">
      <c r="B174" s="113">
        <v>42251</v>
      </c>
      <c r="C174" s="114">
        <v>-7.1658570310000003E-2</v>
      </c>
      <c r="D174" s="114">
        <v>-1.0123711900000001</v>
      </c>
    </row>
    <row r="175" spans="2:4" x14ac:dyDescent="0.2">
      <c r="B175" s="113">
        <v>42255</v>
      </c>
      <c r="C175" s="114">
        <v>-7.5443078129999994E-2</v>
      </c>
      <c r="D175" s="114">
        <v>-1.00712275</v>
      </c>
    </row>
    <row r="176" spans="2:4" x14ac:dyDescent="0.2">
      <c r="B176" s="113">
        <v>42256</v>
      </c>
      <c r="C176" s="114">
        <v>-6.602479688E-2</v>
      </c>
      <c r="D176" s="114">
        <v>-0.98569313000000003</v>
      </c>
    </row>
    <row r="177" spans="2:4" x14ac:dyDescent="0.2">
      <c r="B177" s="113">
        <v>42257</v>
      </c>
      <c r="C177" s="114">
        <v>-6.7268132810000006E-2</v>
      </c>
      <c r="D177" s="114">
        <v>-0.82176663000000005</v>
      </c>
    </row>
    <row r="178" spans="2:4" x14ac:dyDescent="0.2">
      <c r="B178" s="113">
        <v>42258</v>
      </c>
      <c r="C178" s="114">
        <v>-4.375679297E-2</v>
      </c>
      <c r="D178" s="114">
        <v>-0.77360430999999996</v>
      </c>
    </row>
    <row r="179" spans="2:4" x14ac:dyDescent="0.2">
      <c r="B179" s="113">
        <v>42261</v>
      </c>
      <c r="C179" s="114">
        <v>-2.6995556640000001E-2</v>
      </c>
      <c r="D179" s="114">
        <v>-0.91819956000000003</v>
      </c>
    </row>
    <row r="180" spans="2:4" x14ac:dyDescent="0.2">
      <c r="B180" s="113">
        <v>42262</v>
      </c>
      <c r="C180" s="114">
        <v>-8.745153906E-2</v>
      </c>
      <c r="D180" s="114">
        <v>-1.0918331299999999</v>
      </c>
    </row>
    <row r="181" spans="2:4" x14ac:dyDescent="0.2">
      <c r="B181" s="113">
        <v>42263</v>
      </c>
      <c r="C181" s="114">
        <v>-0.11860213281</v>
      </c>
      <c r="D181" s="114">
        <v>-0.69669674999999998</v>
      </c>
    </row>
    <row r="182" spans="2:4" x14ac:dyDescent="0.2">
      <c r="B182" s="113">
        <v>42264</v>
      </c>
      <c r="C182" s="114">
        <v>-0.10577169531</v>
      </c>
      <c r="D182" s="114">
        <v>-0.78268462999999999</v>
      </c>
    </row>
    <row r="183" spans="2:4" x14ac:dyDescent="0.2">
      <c r="B183" s="113">
        <v>42265</v>
      </c>
      <c r="C183" s="114">
        <v>-9.9697124999999998E-2</v>
      </c>
      <c r="D183" s="114">
        <v>-1.13926075</v>
      </c>
    </row>
    <row r="184" spans="2:4" x14ac:dyDescent="0.2">
      <c r="B184" s="113">
        <v>42268</v>
      </c>
      <c r="C184" s="114">
        <v>-7.1721265630000003E-2</v>
      </c>
      <c r="D184" s="114">
        <v>-0.86984413000000005</v>
      </c>
    </row>
    <row r="185" spans="2:4" x14ac:dyDescent="0.2">
      <c r="B185" s="113">
        <v>42269</v>
      </c>
      <c r="C185" s="114">
        <v>-5.182416016E-2</v>
      </c>
      <c r="D185" s="114">
        <v>-0.88622155999999996</v>
      </c>
    </row>
    <row r="186" spans="2:4" x14ac:dyDescent="0.2">
      <c r="B186" s="113">
        <v>42270</v>
      </c>
      <c r="C186" s="114">
        <v>-1.7269224999999999</v>
      </c>
      <c r="D186" s="114">
        <v>-0.80031838</v>
      </c>
    </row>
    <row r="187" spans="2:4" x14ac:dyDescent="0.2">
      <c r="B187" s="113">
        <v>42271</v>
      </c>
      <c r="C187" s="114">
        <v>-0.112670875</v>
      </c>
      <c r="D187" s="114">
        <v>-1.1285765000000001</v>
      </c>
    </row>
    <row r="188" spans="2:4" x14ac:dyDescent="0.2">
      <c r="B188" s="113">
        <v>42272</v>
      </c>
      <c r="C188" s="114">
        <v>-0.10591671094000001</v>
      </c>
      <c r="D188" s="114">
        <v>-0.98207506</v>
      </c>
    </row>
    <row r="189" spans="2:4" x14ac:dyDescent="0.2">
      <c r="B189" s="113">
        <v>42275</v>
      </c>
      <c r="C189" s="114">
        <v>-0.11112589844</v>
      </c>
      <c r="D189" s="114">
        <v>-1.0933937499999999</v>
      </c>
    </row>
    <row r="190" spans="2:4" x14ac:dyDescent="0.2">
      <c r="B190" s="113">
        <v>42276</v>
      </c>
      <c r="C190" s="114">
        <v>-8.3245062499999994E-2</v>
      </c>
      <c r="D190" s="114">
        <v>-0.83234863000000003</v>
      </c>
    </row>
    <row r="191" spans="2:4" x14ac:dyDescent="0.2">
      <c r="B191" s="113">
        <v>42277</v>
      </c>
      <c r="C191" s="114">
        <v>-0.14283446875</v>
      </c>
      <c r="D191" s="114">
        <v>-0.85429743999999996</v>
      </c>
    </row>
    <row r="192" spans="2:4" x14ac:dyDescent="0.2">
      <c r="B192" s="113">
        <v>42278</v>
      </c>
      <c r="C192" s="114">
        <v>-0.16193693749999999</v>
      </c>
      <c r="D192" s="114">
        <v>-0.86128331000000002</v>
      </c>
    </row>
    <row r="193" spans="2:4" x14ac:dyDescent="0.2">
      <c r="B193" s="113">
        <v>42279</v>
      </c>
      <c r="C193" s="114">
        <v>-9.2510796879999996E-2</v>
      </c>
      <c r="D193" s="114">
        <v>-0.76906456000000001</v>
      </c>
    </row>
    <row r="194" spans="2:4" x14ac:dyDescent="0.2">
      <c r="B194" s="113">
        <v>42282</v>
      </c>
      <c r="C194" s="114">
        <v>-7.1021578129999999E-2</v>
      </c>
      <c r="D194" s="114">
        <v>-0.75424568999999997</v>
      </c>
    </row>
    <row r="195" spans="2:4" x14ac:dyDescent="0.2">
      <c r="B195" s="113">
        <v>42283</v>
      </c>
      <c r="C195" s="114">
        <v>-9.305182813E-2</v>
      </c>
      <c r="D195" s="114">
        <v>-0.71294780999999996</v>
      </c>
    </row>
    <row r="196" spans="2:4" x14ac:dyDescent="0.2">
      <c r="B196" s="113">
        <v>42284</v>
      </c>
      <c r="C196" s="114">
        <v>-0.11608834375</v>
      </c>
      <c r="D196" s="114">
        <v>-0.71282243999999995</v>
      </c>
    </row>
    <row r="197" spans="2:4" x14ac:dyDescent="0.2">
      <c r="B197" s="113">
        <v>42285</v>
      </c>
      <c r="C197" s="114">
        <v>-0.17948014063000001</v>
      </c>
      <c r="D197" s="114">
        <v>-0.67906425000000004</v>
      </c>
    </row>
    <row r="198" spans="2:4" x14ac:dyDescent="0.2">
      <c r="B198" s="113">
        <v>42286</v>
      </c>
      <c r="C198" s="114">
        <v>-0.13665329688</v>
      </c>
      <c r="D198" s="114">
        <v>-0.75630244000000002</v>
      </c>
    </row>
    <row r="199" spans="2:4" x14ac:dyDescent="0.2">
      <c r="B199" s="113">
        <v>42290</v>
      </c>
      <c r="C199" s="114">
        <v>-0.15304746875</v>
      </c>
      <c r="D199" s="114">
        <v>-0.79638324999999999</v>
      </c>
    </row>
    <row r="200" spans="2:4" x14ac:dyDescent="0.2">
      <c r="B200" s="113">
        <v>42291</v>
      </c>
      <c r="C200" s="114">
        <v>-0.16009228125</v>
      </c>
      <c r="D200" s="114">
        <v>-0.65425913000000002</v>
      </c>
    </row>
    <row r="201" spans="2:4" x14ac:dyDescent="0.2">
      <c r="B201" s="113">
        <v>42292</v>
      </c>
      <c r="C201" s="114">
        <v>-0.26784243749999997</v>
      </c>
      <c r="D201" s="114">
        <v>-0.70105275</v>
      </c>
    </row>
    <row r="202" spans="2:4" x14ac:dyDescent="0.2">
      <c r="B202" s="113">
        <v>42293</v>
      </c>
      <c r="C202" s="114">
        <v>-0.26327984375000002</v>
      </c>
      <c r="D202" s="114">
        <v>-0.60498763</v>
      </c>
    </row>
    <row r="203" spans="2:4" x14ac:dyDescent="0.2">
      <c r="B203" s="113">
        <v>42296</v>
      </c>
      <c r="C203" s="114">
        <v>-0.16490437499999999</v>
      </c>
      <c r="D203" s="114">
        <v>-0.59939131000000001</v>
      </c>
    </row>
    <row r="204" spans="2:4" x14ac:dyDescent="0.2">
      <c r="B204" s="113">
        <v>42297</v>
      </c>
      <c r="C204" s="114">
        <v>-0.111124</v>
      </c>
      <c r="D204" s="114">
        <v>-0.71390980999999998</v>
      </c>
    </row>
    <row r="205" spans="2:4" x14ac:dyDescent="0.2">
      <c r="B205" s="113">
        <v>42298</v>
      </c>
      <c r="C205" s="114">
        <v>-8.9477453129999995E-2</v>
      </c>
      <c r="D205" s="114">
        <v>-0.59692462999999996</v>
      </c>
    </row>
    <row r="206" spans="2:4" x14ac:dyDescent="0.2">
      <c r="B206" s="113">
        <v>42299</v>
      </c>
      <c r="C206" s="114">
        <v>-6.6552835939999999E-2</v>
      </c>
      <c r="D206" s="114">
        <v>-0.71744812999999996</v>
      </c>
    </row>
    <row r="207" spans="2:4" x14ac:dyDescent="0.2">
      <c r="B207" s="113">
        <v>42300</v>
      </c>
      <c r="C207" s="114">
        <v>-3.9693886720000002E-2</v>
      </c>
      <c r="D207" s="114">
        <v>-0.70211137999999995</v>
      </c>
    </row>
    <row r="208" spans="2:4" x14ac:dyDescent="0.2">
      <c r="B208" s="113">
        <v>42303</v>
      </c>
      <c r="C208" s="114">
        <v>-3.5958003910000001E-2</v>
      </c>
      <c r="D208" s="114">
        <v>-0.59001756000000005</v>
      </c>
    </row>
    <row r="209" spans="2:4" x14ac:dyDescent="0.2">
      <c r="B209" s="113">
        <v>42304</v>
      </c>
      <c r="C209" s="114">
        <v>-7.8309640629999996E-2</v>
      </c>
      <c r="D209" s="114">
        <v>-0.92014019000000002</v>
      </c>
    </row>
    <row r="210" spans="2:4" x14ac:dyDescent="0.2">
      <c r="B210" s="113">
        <v>42305</v>
      </c>
      <c r="C210" s="114">
        <v>-6.2853035160000001E-2</v>
      </c>
      <c r="D210" s="114">
        <v>-0.62672450000000002</v>
      </c>
    </row>
    <row r="211" spans="2:4" x14ac:dyDescent="0.2">
      <c r="B211" s="113">
        <v>42306</v>
      </c>
      <c r="C211" s="114">
        <v>-0.19334470312999999</v>
      </c>
      <c r="D211" s="114">
        <v>-0.63227688000000004</v>
      </c>
    </row>
    <row r="212" spans="2:4" x14ac:dyDescent="0.2">
      <c r="B212" s="113">
        <v>42307</v>
      </c>
      <c r="C212" s="114">
        <v>-0.19821571874999999</v>
      </c>
      <c r="D212" s="114">
        <v>-0.53462206000000001</v>
      </c>
    </row>
    <row r="213" spans="2:4" x14ac:dyDescent="0.2">
      <c r="B213" s="113">
        <v>42310</v>
      </c>
      <c r="C213" s="114">
        <v>-9.3914570310000001E-2</v>
      </c>
      <c r="D213" s="114">
        <v>-0.61910374999999995</v>
      </c>
    </row>
    <row r="214" spans="2:4" x14ac:dyDescent="0.2">
      <c r="B214" s="113">
        <v>42311</v>
      </c>
      <c r="C214" s="114">
        <v>-0.10581039843999999</v>
      </c>
      <c r="D214" s="114">
        <v>-0.50474469</v>
      </c>
    </row>
    <row r="215" spans="2:4" x14ac:dyDescent="0.2">
      <c r="B215" s="113">
        <v>42312</v>
      </c>
      <c r="C215" s="114">
        <v>-0.16266903125000001</v>
      </c>
      <c r="D215" s="114">
        <v>-0.61233974999999996</v>
      </c>
    </row>
    <row r="216" spans="2:4" x14ac:dyDescent="0.2">
      <c r="B216" s="113">
        <v>42313</v>
      </c>
      <c r="C216" s="114">
        <v>-0.131360375</v>
      </c>
      <c r="D216" s="114">
        <v>-0.69207388000000003</v>
      </c>
    </row>
    <row r="217" spans="2:4" x14ac:dyDescent="0.2">
      <c r="B217" s="113">
        <v>42314</v>
      </c>
      <c r="C217" s="114">
        <v>-0.12321997656</v>
      </c>
      <c r="D217" s="114">
        <v>-0.60873363000000003</v>
      </c>
    </row>
    <row r="218" spans="2:4" x14ac:dyDescent="0.2">
      <c r="B218" s="113">
        <v>42317</v>
      </c>
      <c r="C218" s="114">
        <v>-0.10342813281</v>
      </c>
      <c r="D218" s="114">
        <v>-0.71578931000000001</v>
      </c>
    </row>
    <row r="219" spans="2:4" x14ac:dyDescent="0.2">
      <c r="B219" s="113">
        <v>42318</v>
      </c>
      <c r="C219" s="114">
        <v>-0.10964089844</v>
      </c>
      <c r="D219" s="114">
        <v>-0.64708023473999998</v>
      </c>
    </row>
    <row r="220" spans="2:4" x14ac:dyDescent="0.2">
      <c r="B220" s="113">
        <v>42320</v>
      </c>
      <c r="C220" s="114">
        <v>-0.13386762499999999</v>
      </c>
      <c r="D220" s="114">
        <v>-0.53302475000000005</v>
      </c>
    </row>
    <row r="221" spans="2:4" x14ac:dyDescent="0.2">
      <c r="B221" s="113">
        <v>42321</v>
      </c>
      <c r="C221" s="114">
        <v>-0.19175415625</v>
      </c>
      <c r="D221" s="114">
        <v>-0.55015950000000002</v>
      </c>
    </row>
    <row r="222" spans="2:4" x14ac:dyDescent="0.2">
      <c r="B222" s="113">
        <v>42324</v>
      </c>
      <c r="C222" s="114">
        <v>-0.19676885937999999</v>
      </c>
      <c r="D222" s="114">
        <v>-0.53940518999999998</v>
      </c>
    </row>
    <row r="223" spans="2:4" x14ac:dyDescent="0.2">
      <c r="B223" s="113">
        <v>42325</v>
      </c>
      <c r="C223" s="114">
        <v>-0.28391693750000002</v>
      </c>
      <c r="D223" s="114">
        <v>-0.58947749999999999</v>
      </c>
    </row>
    <row r="224" spans="2:4" x14ac:dyDescent="0.2">
      <c r="B224" s="113">
        <v>42326</v>
      </c>
      <c r="C224" s="114">
        <v>-0.16362285938000001</v>
      </c>
      <c r="D224" s="114">
        <v>-0.60079150000000003</v>
      </c>
    </row>
    <row r="225" spans="2:4" x14ac:dyDescent="0.2">
      <c r="B225" s="113">
        <v>42327</v>
      </c>
      <c r="C225" s="114">
        <v>-0.12409808594000001</v>
      </c>
      <c r="D225" s="114">
        <v>-0.72554030999999997</v>
      </c>
    </row>
    <row r="226" spans="2:4" x14ac:dyDescent="0.2">
      <c r="B226" s="113">
        <v>42328</v>
      </c>
      <c r="C226" s="114">
        <v>-8.2322578130000004E-2</v>
      </c>
      <c r="D226" s="114">
        <v>-0.72144850000000005</v>
      </c>
    </row>
    <row r="227" spans="2:4" x14ac:dyDescent="0.2">
      <c r="B227" s="113">
        <v>42331</v>
      </c>
      <c r="C227" s="114">
        <v>-0.12056999219</v>
      </c>
      <c r="D227" s="114">
        <v>-0.97380940125000004</v>
      </c>
    </row>
    <row r="228" spans="2:4" x14ac:dyDescent="0.2">
      <c r="B228" s="113">
        <v>42332</v>
      </c>
      <c r="C228" s="114">
        <v>-0.15555221875</v>
      </c>
      <c r="D228" s="114">
        <v>-0.94250851335999997</v>
      </c>
    </row>
    <row r="229" spans="2:4" x14ac:dyDescent="0.2">
      <c r="B229" s="113">
        <v>42333</v>
      </c>
      <c r="C229" s="114">
        <v>-0.14145268750000001</v>
      </c>
      <c r="D229" s="114">
        <v>-0.68921456250000002</v>
      </c>
    </row>
    <row r="230" spans="2:4" x14ac:dyDescent="0.2">
      <c r="B230" s="113">
        <v>42335</v>
      </c>
      <c r="C230" s="114">
        <v>-0.11639185938</v>
      </c>
      <c r="D230" s="114">
        <v>-0.69373918749999997</v>
      </c>
    </row>
    <row r="231" spans="2:4" x14ac:dyDescent="0.2">
      <c r="B231" s="113">
        <v>42338</v>
      </c>
      <c r="C231" s="114">
        <v>-0.14391226563000001</v>
      </c>
      <c r="D231" s="114">
        <v>-0.83366793750000001</v>
      </c>
    </row>
    <row r="232" spans="2:4" x14ac:dyDescent="0.2">
      <c r="B232" s="113">
        <v>42339</v>
      </c>
      <c r="C232" s="114">
        <v>-0.29610578124999998</v>
      </c>
      <c r="D232" s="114">
        <v>-0.93094537499999996</v>
      </c>
    </row>
    <row r="233" spans="2:4" x14ac:dyDescent="0.2">
      <c r="B233" s="113">
        <v>42340</v>
      </c>
      <c r="C233" s="114">
        <v>-0.14089071875</v>
      </c>
      <c r="D233" s="114">
        <v>-0.80905106250000003</v>
      </c>
    </row>
    <row r="234" spans="2:4" x14ac:dyDescent="0.2">
      <c r="B234" s="113">
        <v>42341</v>
      </c>
      <c r="C234" s="114">
        <v>-8.9186664060000004E-2</v>
      </c>
      <c r="D234" s="114">
        <v>-0.69930762499999999</v>
      </c>
    </row>
    <row r="235" spans="2:4" x14ac:dyDescent="0.2">
      <c r="B235" s="113">
        <v>42342</v>
      </c>
      <c r="C235" s="114">
        <v>-7.1531445309999997E-2</v>
      </c>
      <c r="D235" s="114">
        <v>-0.6079750625</v>
      </c>
    </row>
    <row r="236" spans="2:4" x14ac:dyDescent="0.2">
      <c r="B236" s="113">
        <v>42345</v>
      </c>
      <c r="C236" s="114">
        <v>-7.5112429689999996E-2</v>
      </c>
      <c r="D236" s="114">
        <v>-0.62184381249999998</v>
      </c>
    </row>
    <row r="237" spans="2:4" x14ac:dyDescent="0.2">
      <c r="B237" s="113">
        <v>42346</v>
      </c>
      <c r="C237" s="114">
        <v>-8.4538359379999997E-2</v>
      </c>
      <c r="D237" s="114">
        <v>-0.62612831250000001</v>
      </c>
    </row>
    <row r="238" spans="2:4" x14ac:dyDescent="0.2">
      <c r="B238" s="113">
        <v>42347</v>
      </c>
      <c r="C238" s="114">
        <v>-0.11353703906</v>
      </c>
      <c r="D238" s="114">
        <v>-0.57177149999999999</v>
      </c>
    </row>
    <row r="239" spans="2:4" x14ac:dyDescent="0.2">
      <c r="B239" s="113">
        <v>42348</v>
      </c>
      <c r="C239" s="114">
        <v>-0.12492429687999999</v>
      </c>
      <c r="D239" s="114">
        <v>-0.74232324999999999</v>
      </c>
    </row>
    <row r="240" spans="2:4" x14ac:dyDescent="0.2">
      <c r="B240" s="113">
        <v>42349</v>
      </c>
      <c r="C240" s="114">
        <v>-0.10132621093999999</v>
      </c>
      <c r="D240" s="114">
        <v>-0.73886775000000005</v>
      </c>
    </row>
    <row r="241" spans="2:4" x14ac:dyDescent="0.2">
      <c r="B241" s="113">
        <v>42352</v>
      </c>
      <c r="C241" s="114">
        <v>-0.10026845313</v>
      </c>
      <c r="D241" s="114">
        <v>-0.68926306250000002</v>
      </c>
    </row>
    <row r="242" spans="2:4" x14ac:dyDescent="0.2">
      <c r="B242" s="113">
        <v>42353</v>
      </c>
      <c r="C242" s="114">
        <v>-9.6350828129999996E-2</v>
      </c>
      <c r="D242" s="114">
        <v>-0.68398437499999998</v>
      </c>
    </row>
    <row r="243" spans="2:4" x14ac:dyDescent="0.2">
      <c r="B243" s="113">
        <v>42354</v>
      </c>
      <c r="C243" s="114">
        <v>-5.1901875E-2</v>
      </c>
      <c r="D243" s="114">
        <v>-0.71679593750000004</v>
      </c>
    </row>
    <row r="244" spans="2:4" x14ac:dyDescent="0.2">
      <c r="B244" s="113">
        <v>42355</v>
      </c>
      <c r="C244" s="114">
        <v>-7.8248453130000006E-2</v>
      </c>
      <c r="D244" s="114">
        <v>-0.88436181250000001</v>
      </c>
    </row>
    <row r="245" spans="2:4" x14ac:dyDescent="0.2">
      <c r="B245" s="113">
        <v>42356</v>
      </c>
      <c r="C245" s="114">
        <v>-9.3047265630000001E-2</v>
      </c>
      <c r="D245" s="114">
        <v>-0.85984674999999999</v>
      </c>
    </row>
    <row r="246" spans="2:4" x14ac:dyDescent="0.2">
      <c r="B246" s="113">
        <v>42359</v>
      </c>
      <c r="C246" s="114">
        <v>-4.2746874999999997E-2</v>
      </c>
      <c r="D246" s="114">
        <v>-0.84566624999999995</v>
      </c>
    </row>
    <row r="247" spans="2:4" x14ac:dyDescent="0.2">
      <c r="B247" s="113">
        <v>42360</v>
      </c>
      <c r="C247" s="114">
        <v>-4.267419922E-2</v>
      </c>
      <c r="D247" s="114">
        <v>-0.98955268750000003</v>
      </c>
    </row>
    <row r="248" spans="2:4" x14ac:dyDescent="0.2">
      <c r="B248" s="113">
        <v>42361</v>
      </c>
      <c r="C248" s="114">
        <v>-4.669759766E-2</v>
      </c>
      <c r="D248" s="114">
        <v>-0.849672125</v>
      </c>
    </row>
    <row r="249" spans="2:4" x14ac:dyDescent="0.2">
      <c r="B249" s="113">
        <v>42362</v>
      </c>
      <c r="C249" s="114">
        <v>-3.6063632810000003E-2</v>
      </c>
      <c r="D249" s="114">
        <v>-0.84164737499999998</v>
      </c>
    </row>
    <row r="250" spans="2:4" x14ac:dyDescent="0.2">
      <c r="B250" s="113">
        <v>42366</v>
      </c>
      <c r="C250" s="114">
        <v>-1.358643457E-2</v>
      </c>
      <c r="D250" s="114">
        <v>-0.7441283125</v>
      </c>
    </row>
    <row r="251" spans="2:4" x14ac:dyDescent="0.2">
      <c r="B251" s="113">
        <v>42367</v>
      </c>
      <c r="C251" s="114">
        <v>-1.3493858399999999E-2</v>
      </c>
      <c r="D251" s="114">
        <v>-0.84026774999999998</v>
      </c>
    </row>
    <row r="252" spans="2:4" x14ac:dyDescent="0.2">
      <c r="B252" s="113">
        <v>42368</v>
      </c>
      <c r="C252" s="114">
        <v>-1.332288574E-2</v>
      </c>
      <c r="D252" s="114">
        <v>-0.86805181249999996</v>
      </c>
    </row>
    <row r="253" spans="2:4" x14ac:dyDescent="0.2">
      <c r="B253" s="113">
        <v>42369</v>
      </c>
      <c r="C253" s="114">
        <v>-2.2380535159999999E-2</v>
      </c>
      <c r="D253" s="114">
        <v>-0.95443875</v>
      </c>
    </row>
    <row r="254" spans="2:4" x14ac:dyDescent="0.2">
      <c r="B254" s="113">
        <v>42373</v>
      </c>
      <c r="C254" s="114">
        <v>-0.19688034374999999</v>
      </c>
      <c r="D254" s="114">
        <v>-0.83838568749999998</v>
      </c>
    </row>
    <row r="255" spans="2:4" x14ac:dyDescent="0.2">
      <c r="B255" s="113">
        <v>42374</v>
      </c>
      <c r="C255" s="114">
        <v>-0.17978074999999999</v>
      </c>
      <c r="D255" s="114">
        <v>-0.87998425000000002</v>
      </c>
    </row>
    <row r="256" spans="2:4" x14ac:dyDescent="0.2">
      <c r="B256" s="113">
        <v>42375</v>
      </c>
      <c r="C256" s="114">
        <v>-0.21927203125</v>
      </c>
      <c r="D256" s="114">
        <v>-0.82177312499999999</v>
      </c>
    </row>
    <row r="257" spans="2:4" x14ac:dyDescent="0.2">
      <c r="B257" s="113">
        <v>42376</v>
      </c>
      <c r="C257" s="114">
        <v>-0.16579476563000001</v>
      </c>
      <c r="D257" s="114">
        <v>-0.78734475000000004</v>
      </c>
    </row>
    <row r="258" spans="2:4" x14ac:dyDescent="0.2">
      <c r="B258" s="113">
        <v>42377</v>
      </c>
      <c r="C258" s="114">
        <v>-0.596981875</v>
      </c>
      <c r="D258" s="114">
        <v>-0.86851131250000002</v>
      </c>
    </row>
    <row r="259" spans="2:4" x14ac:dyDescent="0.2">
      <c r="B259" s="113">
        <v>42380</v>
      </c>
      <c r="C259" s="114">
        <v>-9.6584695309999996E-2</v>
      </c>
      <c r="D259" s="114">
        <v>-0.90087781249999999</v>
      </c>
    </row>
    <row r="260" spans="2:4" x14ac:dyDescent="0.2">
      <c r="B260" s="113">
        <v>42381</v>
      </c>
      <c r="C260" s="114">
        <v>-7.8865875000000002E-2</v>
      </c>
      <c r="D260" s="114">
        <v>-0.71909937499999999</v>
      </c>
    </row>
    <row r="261" spans="2:4" x14ac:dyDescent="0.2">
      <c r="B261" s="113">
        <v>42382</v>
      </c>
      <c r="C261" s="114">
        <v>-6.863424219E-2</v>
      </c>
      <c r="D261" s="114">
        <v>-0.81136731250000005</v>
      </c>
    </row>
    <row r="262" spans="2:4" x14ac:dyDescent="0.2">
      <c r="B262" s="113">
        <v>42383</v>
      </c>
      <c r="C262" s="114">
        <v>-7.648670313E-2</v>
      </c>
      <c r="D262" s="114">
        <v>-0.89534343750000001</v>
      </c>
    </row>
    <row r="263" spans="2:4" x14ac:dyDescent="0.2">
      <c r="B263" s="113">
        <v>42384</v>
      </c>
      <c r="C263" s="114">
        <v>-0.23804823438</v>
      </c>
      <c r="D263" s="114">
        <v>-0.85028756250000004</v>
      </c>
    </row>
    <row r="264" spans="2:4" x14ac:dyDescent="0.2">
      <c r="B264" s="113">
        <v>42388</v>
      </c>
      <c r="C264" s="114">
        <v>-0.10045435156</v>
      </c>
      <c r="D264" s="114">
        <v>-0.96230487499999995</v>
      </c>
    </row>
    <row r="265" spans="2:4" x14ac:dyDescent="0.2">
      <c r="B265" s="113">
        <v>42389</v>
      </c>
      <c r="C265" s="114">
        <v>-8.1608695310000007E-2</v>
      </c>
      <c r="D265" s="114">
        <v>-0.94950418749999999</v>
      </c>
    </row>
    <row r="266" spans="2:4" x14ac:dyDescent="0.2">
      <c r="B266" s="113">
        <v>42390</v>
      </c>
      <c r="C266" s="114">
        <v>-0.16146334374999999</v>
      </c>
      <c r="D266" s="114">
        <v>-1.0870841250000001</v>
      </c>
    </row>
    <row r="267" spans="2:4" x14ac:dyDescent="0.2">
      <c r="B267" s="113">
        <v>42391</v>
      </c>
      <c r="C267" s="114">
        <v>-0.17462614063000001</v>
      </c>
      <c r="D267" s="114">
        <v>-1.4190147500000001</v>
      </c>
    </row>
    <row r="268" spans="2:4" x14ac:dyDescent="0.2">
      <c r="B268" s="113">
        <v>42394</v>
      </c>
      <c r="C268" s="114">
        <v>-0.14138945313000001</v>
      </c>
      <c r="D268" s="114">
        <v>-0.9966843125</v>
      </c>
    </row>
    <row r="269" spans="2:4" x14ac:dyDescent="0.2">
      <c r="B269" s="113">
        <v>42395</v>
      </c>
      <c r="C269" s="114">
        <v>-0.11335016405999999</v>
      </c>
      <c r="D269" s="114">
        <v>-0.98964125000000003</v>
      </c>
    </row>
    <row r="270" spans="2:4" x14ac:dyDescent="0.2">
      <c r="B270" s="113">
        <v>42396</v>
      </c>
      <c r="C270" s="114">
        <v>-9.6234140630000006E-2</v>
      </c>
      <c r="D270" s="114">
        <v>-1.0128738749999999</v>
      </c>
    </row>
    <row r="271" spans="2:4" x14ac:dyDescent="0.2">
      <c r="B271" s="113">
        <v>42397</v>
      </c>
      <c r="C271" s="114">
        <v>-0.1528078125</v>
      </c>
      <c r="D271" s="114">
        <v>-0.87601462500000005</v>
      </c>
    </row>
    <row r="272" spans="2:4" x14ac:dyDescent="0.2">
      <c r="B272" s="113">
        <v>42398</v>
      </c>
      <c r="C272" s="114">
        <v>-9.0149179689999998E-2</v>
      </c>
      <c r="D272" s="114">
        <v>-0.81902806250000004</v>
      </c>
    </row>
    <row r="273" spans="2:4" x14ac:dyDescent="0.2">
      <c r="B273" s="113">
        <v>42401</v>
      </c>
      <c r="C273" s="114">
        <v>-9.8340007810000005E-2</v>
      </c>
      <c r="D273" s="114">
        <v>-0.81624643750000003</v>
      </c>
    </row>
    <row r="274" spans="2:4" x14ac:dyDescent="0.2">
      <c r="B274" s="113">
        <v>42402</v>
      </c>
      <c r="C274" s="114">
        <v>-0.15462379688</v>
      </c>
      <c r="D274" s="114">
        <v>-0.90017756250000003</v>
      </c>
    </row>
    <row r="275" spans="2:4" x14ac:dyDescent="0.2">
      <c r="B275" s="113">
        <v>42403</v>
      </c>
      <c r="C275" s="114">
        <v>-0.15391968750000001</v>
      </c>
      <c r="D275" s="114">
        <v>-0.85137324999999997</v>
      </c>
    </row>
    <row r="276" spans="2:4" x14ac:dyDescent="0.2">
      <c r="B276" s="113">
        <v>42404</v>
      </c>
      <c r="C276" s="114">
        <v>-8.913471094E-2</v>
      </c>
      <c r="D276" s="114">
        <v>-0.92002862500000004</v>
      </c>
    </row>
    <row r="277" spans="2:4" x14ac:dyDescent="0.2">
      <c r="B277" s="113">
        <v>42405</v>
      </c>
      <c r="C277" s="114">
        <v>-0.22513074999999999</v>
      </c>
      <c r="D277" s="114">
        <v>-0.81807050000000003</v>
      </c>
    </row>
    <row r="278" spans="2:4" x14ac:dyDescent="0.2">
      <c r="B278" s="113">
        <v>42408</v>
      </c>
      <c r="C278" s="114">
        <v>-0.13799982813</v>
      </c>
      <c r="D278" s="114">
        <v>-0.81385481250000002</v>
      </c>
    </row>
    <row r="279" spans="2:4" x14ac:dyDescent="0.2">
      <c r="B279" s="113">
        <v>42409</v>
      </c>
      <c r="C279" s="114">
        <v>-0.34589746874999999</v>
      </c>
      <c r="D279" s="114">
        <v>-0.87959712499999998</v>
      </c>
    </row>
    <row r="280" spans="2:4" x14ac:dyDescent="0.2">
      <c r="B280" s="113">
        <v>42410</v>
      </c>
      <c r="C280" s="114">
        <v>-0.21064521875</v>
      </c>
      <c r="D280" s="114">
        <v>-0.81060750000000004</v>
      </c>
    </row>
    <row r="281" spans="2:4" x14ac:dyDescent="0.2">
      <c r="B281" s="113">
        <v>42411</v>
      </c>
      <c r="C281" s="114">
        <v>-0.17226860937999999</v>
      </c>
      <c r="D281" s="114">
        <v>-0.82678037500000001</v>
      </c>
    </row>
    <row r="282" spans="2:4" x14ac:dyDescent="0.2">
      <c r="B282" s="113">
        <v>42412</v>
      </c>
      <c r="C282" s="114">
        <v>-0.21514949999999999</v>
      </c>
      <c r="D282" s="114">
        <v>-0.8531185</v>
      </c>
    </row>
    <row r="283" spans="2:4" x14ac:dyDescent="0.2">
      <c r="B283" s="113">
        <v>42416</v>
      </c>
      <c r="C283" s="114">
        <v>-0.15260239063</v>
      </c>
      <c r="D283" s="114">
        <v>-0.97576949999999996</v>
      </c>
    </row>
    <row r="284" spans="2:4" x14ac:dyDescent="0.2">
      <c r="B284" s="113">
        <v>42417</v>
      </c>
      <c r="C284" s="114">
        <v>-0.33029640625000001</v>
      </c>
      <c r="D284" s="114">
        <v>-0.72883918749999999</v>
      </c>
    </row>
    <row r="285" spans="2:4" x14ac:dyDescent="0.2">
      <c r="B285" s="113">
        <v>42418</v>
      </c>
      <c r="C285" s="114">
        <v>-0.12170436719</v>
      </c>
      <c r="D285" s="114">
        <v>-1.2889433749999999</v>
      </c>
    </row>
    <row r="286" spans="2:4" x14ac:dyDescent="0.2">
      <c r="B286" s="113">
        <v>42419</v>
      </c>
      <c r="C286" s="114">
        <v>-7.8376742190000001E-2</v>
      </c>
      <c r="D286" s="114">
        <v>-1.1020045000000001</v>
      </c>
    </row>
    <row r="287" spans="2:4" x14ac:dyDescent="0.2">
      <c r="B287" s="113">
        <v>42422</v>
      </c>
      <c r="C287" s="114">
        <v>-8.9761890629999994E-2</v>
      </c>
      <c r="D287" s="114">
        <v>-1.3118812500000001</v>
      </c>
    </row>
    <row r="288" spans="2:4" x14ac:dyDescent="0.2">
      <c r="B288" s="113">
        <v>42423</v>
      </c>
      <c r="C288" s="114">
        <v>-0.13997170313000001</v>
      </c>
      <c r="D288" s="114">
        <v>-0.8368671875</v>
      </c>
    </row>
    <row r="289" spans="2:4" x14ac:dyDescent="0.2">
      <c r="B289" s="113">
        <v>42424</v>
      </c>
      <c r="C289" s="114">
        <v>-0.12240032813</v>
      </c>
      <c r="D289" s="114">
        <v>-0.94168275000000001</v>
      </c>
    </row>
    <row r="290" spans="2:4" x14ac:dyDescent="0.2">
      <c r="B290" s="113">
        <v>42425</v>
      </c>
      <c r="C290" s="114">
        <v>-0.28855393750000002</v>
      </c>
      <c r="D290" s="114">
        <v>-1.0124011875000001</v>
      </c>
    </row>
    <row r="291" spans="2:4" x14ac:dyDescent="0.2">
      <c r="B291" s="113">
        <v>42426</v>
      </c>
      <c r="C291" s="114">
        <v>-0.16327878125</v>
      </c>
      <c r="D291" s="114">
        <v>-1.14759725</v>
      </c>
    </row>
    <row r="292" spans="2:4" x14ac:dyDescent="0.2">
      <c r="B292" s="113">
        <v>42429</v>
      </c>
      <c r="C292" s="114">
        <v>-0.17488993750000001</v>
      </c>
      <c r="D292" s="114">
        <v>-1.1412036249999999</v>
      </c>
    </row>
    <row r="293" spans="2:4" x14ac:dyDescent="0.2">
      <c r="B293" s="113">
        <v>42430</v>
      </c>
      <c r="C293" s="114">
        <v>-0.52215815624999995</v>
      </c>
      <c r="D293" s="114">
        <v>-1.0984603749999999</v>
      </c>
    </row>
    <row r="294" spans="2:4" x14ac:dyDescent="0.2">
      <c r="B294" s="113">
        <v>42431</v>
      </c>
      <c r="C294" s="114">
        <v>-0.23735223438</v>
      </c>
      <c r="D294" s="114">
        <v>-1.108062375</v>
      </c>
    </row>
    <row r="295" spans="2:4" x14ac:dyDescent="0.2">
      <c r="B295" s="113">
        <v>42432</v>
      </c>
      <c r="C295" s="114">
        <v>-0.18455928125000001</v>
      </c>
      <c r="D295" s="114">
        <v>-0.97316875000000003</v>
      </c>
    </row>
    <row r="296" spans="2:4" x14ac:dyDescent="0.2">
      <c r="B296" s="113">
        <v>42433</v>
      </c>
      <c r="C296" s="114">
        <v>-0.18243796875000001</v>
      </c>
      <c r="D296" s="114">
        <v>-1.0100724375000001</v>
      </c>
    </row>
    <row r="297" spans="2:4" x14ac:dyDescent="0.2">
      <c r="B297" s="113">
        <v>42436</v>
      </c>
      <c r="C297" s="114">
        <v>-0.14262829688000001</v>
      </c>
      <c r="D297" s="114">
        <v>-1.0220564999999999</v>
      </c>
    </row>
    <row r="298" spans="2:4" x14ac:dyDescent="0.2">
      <c r="B298" s="113">
        <v>42437</v>
      </c>
      <c r="C298" s="114">
        <v>-0.18390709375</v>
      </c>
      <c r="D298" s="114">
        <v>-0.94537768749999995</v>
      </c>
    </row>
    <row r="299" spans="2:4" x14ac:dyDescent="0.2">
      <c r="B299" s="113">
        <v>42438</v>
      </c>
      <c r="C299" s="114">
        <v>-0.16968698437999999</v>
      </c>
      <c r="D299" s="114">
        <v>-0.94942493750000001</v>
      </c>
    </row>
    <row r="300" spans="2:4" x14ac:dyDescent="0.2">
      <c r="B300" s="113">
        <v>42439</v>
      </c>
      <c r="C300" s="114">
        <v>-7.2864429689999996E-2</v>
      </c>
      <c r="D300" s="114">
        <v>-1.1285605000000001</v>
      </c>
    </row>
    <row r="301" spans="2:4" x14ac:dyDescent="0.2">
      <c r="B301" s="113">
        <v>42440</v>
      </c>
      <c r="C301" s="114">
        <v>-5.7304675780000001E-2</v>
      </c>
      <c r="D301" s="114">
        <v>-1.137452125</v>
      </c>
    </row>
    <row r="302" spans="2:4" x14ac:dyDescent="0.2">
      <c r="B302" s="113">
        <v>42443</v>
      </c>
      <c r="C302" s="114">
        <v>-6.7980781249999997E-2</v>
      </c>
      <c r="D302" s="114">
        <v>-1.0826245000000001</v>
      </c>
    </row>
    <row r="303" spans="2:4" x14ac:dyDescent="0.2">
      <c r="B303" s="113">
        <v>42444</v>
      </c>
      <c r="C303" s="114">
        <v>-0.12431390624999999</v>
      </c>
      <c r="D303" s="114">
        <v>-1.0928487499999999</v>
      </c>
    </row>
    <row r="304" spans="2:4" x14ac:dyDescent="0.2">
      <c r="B304" s="113">
        <v>42445</v>
      </c>
      <c r="C304" s="114">
        <v>-0.16791092188000001</v>
      </c>
      <c r="D304" s="114">
        <v>-1.0166499375</v>
      </c>
    </row>
    <row r="305" spans="2:4" x14ac:dyDescent="0.2">
      <c r="B305" s="113">
        <v>42446</v>
      </c>
      <c r="C305" s="114">
        <v>-7.2032914059999995E-2</v>
      </c>
      <c r="D305" s="114">
        <v>-0.93444424999999998</v>
      </c>
    </row>
    <row r="306" spans="2:4" x14ac:dyDescent="0.2">
      <c r="B306" s="113">
        <v>42447</v>
      </c>
      <c r="C306" s="114">
        <v>-0.17598495313000001</v>
      </c>
      <c r="D306" s="114">
        <v>-1.09751825</v>
      </c>
    </row>
    <row r="307" spans="2:4" x14ac:dyDescent="0.2">
      <c r="B307" s="113">
        <v>42450</v>
      </c>
      <c r="C307" s="114">
        <v>-0.23131279688</v>
      </c>
      <c r="D307" s="114">
        <v>-1.052278375</v>
      </c>
    </row>
    <row r="308" spans="2:4" x14ac:dyDescent="0.2">
      <c r="B308" s="113">
        <v>42451</v>
      </c>
      <c r="C308" s="114">
        <v>-0.16126354688</v>
      </c>
      <c r="D308" s="114">
        <v>-1.0112008125</v>
      </c>
    </row>
    <row r="309" spans="2:4" x14ac:dyDescent="0.2">
      <c r="B309" s="113">
        <v>42452</v>
      </c>
      <c r="C309" s="114">
        <v>-0.10837635156</v>
      </c>
      <c r="D309" s="114">
        <v>-1.0118461875</v>
      </c>
    </row>
    <row r="310" spans="2:4" x14ac:dyDescent="0.2">
      <c r="B310" s="113">
        <v>42453</v>
      </c>
      <c r="C310" s="114">
        <v>-0.10805710938</v>
      </c>
      <c r="D310" s="114">
        <v>-1.0229200624999999</v>
      </c>
    </row>
    <row r="311" spans="2:4" x14ac:dyDescent="0.2">
      <c r="B311" s="113">
        <v>42454</v>
      </c>
      <c r="C311" s="114">
        <v>-0.11549981249999999</v>
      </c>
      <c r="D311" s="114">
        <v>-1.0399233750000001</v>
      </c>
    </row>
    <row r="312" spans="2:4" x14ac:dyDescent="0.2">
      <c r="B312" s="113">
        <v>42457</v>
      </c>
      <c r="C312" s="114">
        <v>-8.6905070309999999E-2</v>
      </c>
      <c r="D312" s="114">
        <v>-1.135650625</v>
      </c>
    </row>
    <row r="313" spans="2:4" x14ac:dyDescent="0.2">
      <c r="B313" s="113">
        <v>42458</v>
      </c>
      <c r="C313" s="114">
        <v>-0.13866573437999999</v>
      </c>
      <c r="D313" s="114">
        <v>-1.0284895000000001</v>
      </c>
    </row>
    <row r="314" spans="2:4" x14ac:dyDescent="0.2">
      <c r="B314" s="113">
        <v>42459</v>
      </c>
      <c r="C314" s="114">
        <v>-0.12077333594</v>
      </c>
      <c r="D314" s="114">
        <v>-1.0447562500000001</v>
      </c>
    </row>
    <row r="315" spans="2:4" x14ac:dyDescent="0.2">
      <c r="B315" s="113">
        <v>42460</v>
      </c>
      <c r="C315" s="114">
        <v>-0.14176670313</v>
      </c>
      <c r="D315" s="114">
        <v>-0.99362443749999996</v>
      </c>
    </row>
    <row r="316" spans="2:4" x14ac:dyDescent="0.2">
      <c r="B316" s="113">
        <v>42461</v>
      </c>
      <c r="C316" s="114">
        <v>-0.10855845313</v>
      </c>
      <c r="D316" s="114">
        <v>-1.0267318125</v>
      </c>
    </row>
    <row r="317" spans="2:4" x14ac:dyDescent="0.2">
      <c r="B317" s="113">
        <v>42464</v>
      </c>
      <c r="C317" s="114">
        <v>-6.4658468750000003E-2</v>
      </c>
      <c r="D317" s="114">
        <v>-1.0226976249999999</v>
      </c>
    </row>
    <row r="318" spans="2:4" x14ac:dyDescent="0.2">
      <c r="B318" s="113">
        <v>42465</v>
      </c>
      <c r="C318" s="114">
        <v>-0.21652579688000001</v>
      </c>
      <c r="D318" s="114">
        <v>-0.90849881249999997</v>
      </c>
    </row>
    <row r="319" spans="2:4" x14ac:dyDescent="0.2">
      <c r="B319" s="113">
        <v>42466</v>
      </c>
      <c r="C319" s="114">
        <v>-8.1739617190000002E-2</v>
      </c>
      <c r="D319" s="114">
        <v>-0.93400550000000004</v>
      </c>
    </row>
    <row r="320" spans="2:4" x14ac:dyDescent="0.2">
      <c r="B320" s="113">
        <v>42467</v>
      </c>
      <c r="C320" s="114">
        <v>-5.2597976560000002E-2</v>
      </c>
      <c r="D320" s="114">
        <v>-1.065126375</v>
      </c>
    </row>
    <row r="321" spans="2:4" x14ac:dyDescent="0.2">
      <c r="B321" s="113">
        <v>42468</v>
      </c>
      <c r="C321" s="114">
        <v>-8.5391117190000004E-2</v>
      </c>
      <c r="D321" s="114">
        <v>-1.08203475</v>
      </c>
    </row>
    <row r="322" spans="2:4" x14ac:dyDescent="0.2">
      <c r="B322" s="113">
        <v>42471</v>
      </c>
      <c r="C322" s="114">
        <v>-7.3386179689999997E-2</v>
      </c>
      <c r="D322" s="114">
        <v>-1.1597191250000001</v>
      </c>
    </row>
    <row r="323" spans="2:4" x14ac:dyDescent="0.2">
      <c r="B323" s="113">
        <v>42472</v>
      </c>
      <c r="C323" s="114">
        <v>-0.12505832813000001</v>
      </c>
      <c r="D323" s="114">
        <v>-0.96606956249999998</v>
      </c>
    </row>
    <row r="324" spans="2:4" x14ac:dyDescent="0.2">
      <c r="B324" s="113">
        <v>42473</v>
      </c>
      <c r="C324" s="114">
        <v>-0.70438374999999998</v>
      </c>
      <c r="D324" s="114">
        <v>-0.89277818750000004</v>
      </c>
    </row>
    <row r="325" spans="2:4" x14ac:dyDescent="0.2">
      <c r="B325" s="113">
        <v>42474</v>
      </c>
      <c r="C325" s="114">
        <v>-0.26247274999999998</v>
      </c>
      <c r="D325" s="114">
        <v>-0.89981462499999998</v>
      </c>
    </row>
    <row r="326" spans="2:4" x14ac:dyDescent="0.2">
      <c r="B326" s="113">
        <v>42475</v>
      </c>
      <c r="C326" s="114">
        <v>-0.2138783125</v>
      </c>
      <c r="D326" s="114">
        <v>-0.93504256249999995</v>
      </c>
    </row>
    <row r="327" spans="2:4" x14ac:dyDescent="0.2">
      <c r="B327" s="113">
        <v>42478</v>
      </c>
      <c r="C327" s="114">
        <v>-0.10004639063</v>
      </c>
      <c r="D327" s="114">
        <v>-0.88428150000000005</v>
      </c>
    </row>
    <row r="328" spans="2:4" x14ac:dyDescent="0.2">
      <c r="B328" s="113">
        <v>42479</v>
      </c>
      <c r="C328" s="114">
        <v>-4.8109078130000003E-2</v>
      </c>
      <c r="D328" s="114">
        <v>-1.0415252500000001</v>
      </c>
    </row>
    <row r="329" spans="2:4" x14ac:dyDescent="0.2">
      <c r="B329" s="113">
        <v>42480</v>
      </c>
      <c r="C329" s="114">
        <v>-7.4643351560000001E-2</v>
      </c>
      <c r="D329" s="114">
        <v>-1.0120654375</v>
      </c>
    </row>
    <row r="330" spans="2:4" x14ac:dyDescent="0.2">
      <c r="B330" s="113">
        <v>42481</v>
      </c>
      <c r="C330" s="114">
        <v>-7.1207257809999994E-2</v>
      </c>
      <c r="D330" s="114">
        <v>-1.0055050000000001</v>
      </c>
    </row>
    <row r="331" spans="2:4" x14ac:dyDescent="0.2">
      <c r="B331" s="113">
        <v>42482</v>
      </c>
      <c r="C331" s="114">
        <v>-7.4811273440000006E-2</v>
      </c>
      <c r="D331" s="114">
        <v>-0.86906262499999998</v>
      </c>
    </row>
    <row r="332" spans="2:4" x14ac:dyDescent="0.2">
      <c r="B332" s="113">
        <v>42485</v>
      </c>
      <c r="C332" s="114">
        <v>-0.14646720313</v>
      </c>
      <c r="D332" s="114">
        <v>-0.86084168750000001</v>
      </c>
    </row>
    <row r="333" spans="2:4" x14ac:dyDescent="0.2">
      <c r="B333" s="113">
        <v>42486</v>
      </c>
      <c r="C333" s="114">
        <v>-7.1085656250000004E-2</v>
      </c>
      <c r="D333" s="114">
        <v>-0.91567256249999995</v>
      </c>
    </row>
    <row r="334" spans="2:4" x14ac:dyDescent="0.2">
      <c r="B334" s="113">
        <v>42487</v>
      </c>
      <c r="C334" s="114">
        <v>-7.0755367190000001E-2</v>
      </c>
      <c r="D334" s="114">
        <v>-0.78638931249999999</v>
      </c>
    </row>
    <row r="335" spans="2:4" x14ac:dyDescent="0.2">
      <c r="B335" s="113">
        <v>42488</v>
      </c>
      <c r="C335" s="114">
        <v>-0.10680498438</v>
      </c>
      <c r="D335" s="114">
        <v>-0.83644581250000005</v>
      </c>
    </row>
    <row r="336" spans="2:4" x14ac:dyDescent="0.2">
      <c r="B336" s="113">
        <v>42489</v>
      </c>
      <c r="C336" s="114">
        <v>-9.3882382809999998E-2</v>
      </c>
      <c r="D336" s="114">
        <v>-0.87595818749999999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5"/>
  <sheetViews>
    <sheetView workbookViewId="0"/>
  </sheetViews>
  <sheetFormatPr defaultRowHeight="15" x14ac:dyDescent="0.25"/>
  <cols>
    <col min="1" max="1" width="11.42578125" style="118" customWidth="1"/>
    <col min="2" max="2" width="15.85546875" style="118" bestFit="1" customWidth="1"/>
    <col min="3" max="3" width="14" style="118" customWidth="1"/>
    <col min="4" max="4" width="11" style="118" customWidth="1"/>
    <col min="5" max="16384" width="9.140625" style="118"/>
  </cols>
  <sheetData>
    <row r="1" spans="1:4" ht="45" x14ac:dyDescent="0.25">
      <c r="A1" s="117" t="s">
        <v>442</v>
      </c>
      <c r="B1" s="117" t="s">
        <v>456</v>
      </c>
      <c r="C1" s="117" t="s">
        <v>498</v>
      </c>
      <c r="D1" s="117" t="s">
        <v>499</v>
      </c>
    </row>
    <row r="2" spans="1:4" x14ac:dyDescent="0.25">
      <c r="A2" s="119">
        <v>42489</v>
      </c>
      <c r="B2" s="120">
        <v>-4525779.5437629819</v>
      </c>
      <c r="C2" s="121">
        <v>171229767</v>
      </c>
      <c r="D2" s="122">
        <v>2.6431032542157125E-2</v>
      </c>
    </row>
    <row r="3" spans="1:4" x14ac:dyDescent="0.25">
      <c r="A3" s="119">
        <v>42488</v>
      </c>
      <c r="B3" s="120">
        <v>-8448678.933099607</v>
      </c>
      <c r="C3" s="121">
        <v>171229767</v>
      </c>
      <c r="D3" s="122">
        <v>4.9341181040675051E-2</v>
      </c>
    </row>
    <row r="4" spans="1:4" x14ac:dyDescent="0.25">
      <c r="A4" s="119">
        <v>42487</v>
      </c>
      <c r="B4" s="120">
        <v>-8627970.1946078353</v>
      </c>
      <c r="C4" s="121">
        <v>171229767</v>
      </c>
      <c r="D4" s="122">
        <v>5.0388261023609493E-2</v>
      </c>
    </row>
    <row r="5" spans="1:4" x14ac:dyDescent="0.25">
      <c r="A5" s="119">
        <v>42486</v>
      </c>
      <c r="B5" s="120">
        <v>-7846210.0241671214</v>
      </c>
      <c r="C5" s="121">
        <v>171229767</v>
      </c>
      <c r="D5" s="122">
        <v>4.5822698714336987E-2</v>
      </c>
    </row>
    <row r="6" spans="1:4" x14ac:dyDescent="0.25">
      <c r="A6" s="119">
        <v>42485</v>
      </c>
      <c r="B6" s="120">
        <v>-6920491.6139999982</v>
      </c>
      <c r="C6" s="121">
        <v>171229767</v>
      </c>
      <c r="D6" s="122">
        <v>4.0416405016774903E-2</v>
      </c>
    </row>
    <row r="7" spans="1:4" x14ac:dyDescent="0.25">
      <c r="A7" s="119">
        <v>42482</v>
      </c>
      <c r="B7" s="120">
        <v>-8202564.595999998</v>
      </c>
      <c r="C7" s="121">
        <v>171229767</v>
      </c>
      <c r="D7" s="122">
        <v>4.7903847208996077E-2</v>
      </c>
    </row>
    <row r="8" spans="1:4" x14ac:dyDescent="0.25">
      <c r="A8" s="119">
        <v>42481</v>
      </c>
      <c r="B8" s="120">
        <v>-6688589.4825749975</v>
      </c>
      <c r="C8" s="121">
        <v>171229767</v>
      </c>
      <c r="D8" s="122">
        <v>3.906207197358972E-2</v>
      </c>
    </row>
    <row r="9" spans="1:4" x14ac:dyDescent="0.25">
      <c r="A9" s="119">
        <v>42480</v>
      </c>
      <c r="B9" s="120">
        <v>-5613642.1499999994</v>
      </c>
      <c r="C9" s="121">
        <v>171229767</v>
      </c>
      <c r="D9" s="122">
        <v>3.2784265541866905E-2</v>
      </c>
    </row>
    <row r="10" spans="1:4" x14ac:dyDescent="0.25">
      <c r="A10" s="119">
        <v>42479</v>
      </c>
      <c r="B10" s="120">
        <v>-7237770.8164999997</v>
      </c>
      <c r="C10" s="121">
        <v>171229767</v>
      </c>
      <c r="D10" s="122">
        <v>4.226934921017559E-2</v>
      </c>
    </row>
    <row r="11" spans="1:4" x14ac:dyDescent="0.25">
      <c r="A11" s="119">
        <v>42478</v>
      </c>
      <c r="B11" s="120">
        <v>-5417760.5600000005</v>
      </c>
      <c r="C11" s="121">
        <v>171229767</v>
      </c>
      <c r="D11" s="122">
        <v>3.1640296280961482E-2</v>
      </c>
    </row>
    <row r="12" spans="1:4" x14ac:dyDescent="0.25">
      <c r="A12" s="119">
        <v>42475</v>
      </c>
      <c r="B12" s="120">
        <v>-3879430.120000001</v>
      </c>
      <c r="C12" s="121">
        <v>171229767</v>
      </c>
      <c r="D12" s="122">
        <v>2.265628335521826E-2</v>
      </c>
    </row>
    <row r="13" spans="1:4" x14ac:dyDescent="0.25">
      <c r="A13" s="119">
        <v>42474</v>
      </c>
      <c r="B13" s="120">
        <v>-2882749.8696000017</v>
      </c>
      <c r="C13" s="121">
        <v>171229767</v>
      </c>
      <c r="D13" s="122">
        <v>1.6835564984445734E-2</v>
      </c>
    </row>
    <row r="14" spans="1:4" x14ac:dyDescent="0.25">
      <c r="A14" s="119">
        <v>42473</v>
      </c>
      <c r="B14" s="120">
        <v>-3549102.2257999992</v>
      </c>
      <c r="C14" s="121">
        <v>171229767</v>
      </c>
      <c r="D14" s="122">
        <v>2.0727133418338407E-2</v>
      </c>
    </row>
    <row r="15" spans="1:4" x14ac:dyDescent="0.25">
      <c r="A15" s="119">
        <v>42472</v>
      </c>
      <c r="B15" s="120">
        <v>-2730146.3097060784</v>
      </c>
      <c r="C15" s="121">
        <v>171229767</v>
      </c>
      <c r="D15" s="122">
        <v>1.5944344009450637E-2</v>
      </c>
    </row>
    <row r="16" spans="1:4" x14ac:dyDescent="0.25">
      <c r="A16" s="119">
        <v>42471</v>
      </c>
      <c r="B16" s="120">
        <v>-6081467.6439999994</v>
      </c>
      <c r="C16" s="121">
        <v>171229767</v>
      </c>
      <c r="D16" s="122">
        <v>3.5516416044647184E-2</v>
      </c>
    </row>
    <row r="17" spans="1:4" x14ac:dyDescent="0.25">
      <c r="A17" s="119">
        <v>42468</v>
      </c>
      <c r="B17" s="120">
        <v>-4706666.3601499982</v>
      </c>
      <c r="C17" s="121">
        <v>171229767</v>
      </c>
      <c r="D17" s="122">
        <v>2.7487430734809085E-2</v>
      </c>
    </row>
    <row r="18" spans="1:4" x14ac:dyDescent="0.25">
      <c r="A18" s="119">
        <v>42467</v>
      </c>
      <c r="B18" s="120">
        <v>-4089110.8349417592</v>
      </c>
      <c r="C18" s="121">
        <v>171229767</v>
      </c>
      <c r="D18" s="122">
        <v>2.3880840969326082E-2</v>
      </c>
    </row>
    <row r="19" spans="1:4" x14ac:dyDescent="0.25">
      <c r="A19" s="119">
        <v>42466</v>
      </c>
      <c r="B19" s="120">
        <v>-4508325.262099999</v>
      </c>
      <c r="C19" s="121">
        <v>171229767</v>
      </c>
      <c r="D19" s="122">
        <v>2.6329097686034923E-2</v>
      </c>
    </row>
    <row r="20" spans="1:4" x14ac:dyDescent="0.25">
      <c r="A20" s="119">
        <v>42465</v>
      </c>
      <c r="B20" s="120">
        <v>-3427965.0563165019</v>
      </c>
      <c r="C20" s="121">
        <v>171229767</v>
      </c>
      <c r="D20" s="122">
        <v>2.0019679500682272E-2</v>
      </c>
    </row>
    <row r="21" spans="1:4" x14ac:dyDescent="0.25">
      <c r="A21" s="119">
        <v>42464</v>
      </c>
      <c r="B21" s="120">
        <v>-3307332.4074724717</v>
      </c>
      <c r="C21" s="121">
        <v>171229767</v>
      </c>
      <c r="D21" s="122">
        <v>1.9315172037070352E-2</v>
      </c>
    </row>
    <row r="22" spans="1:4" x14ac:dyDescent="0.25">
      <c r="A22" s="119">
        <v>42461</v>
      </c>
      <c r="B22" s="120">
        <v>-4166204.6886200458</v>
      </c>
      <c r="C22" s="121">
        <v>171229767</v>
      </c>
      <c r="D22" s="122">
        <v>2.433107725142233E-2</v>
      </c>
    </row>
    <row r="23" spans="1:4" x14ac:dyDescent="0.25">
      <c r="A23" s="119">
        <v>42460</v>
      </c>
      <c r="B23" s="120">
        <v>-648545.12684823968</v>
      </c>
      <c r="C23" s="121">
        <v>169889400</v>
      </c>
      <c r="D23" s="122">
        <v>3.8174549256648131E-3</v>
      </c>
    </row>
    <row r="24" spans="1:4" x14ac:dyDescent="0.25">
      <c r="A24" s="119">
        <v>42459</v>
      </c>
      <c r="B24" s="120">
        <v>-4416633.0018546665</v>
      </c>
      <c r="C24" s="121">
        <v>169889400</v>
      </c>
      <c r="D24" s="122">
        <v>2.5997107540874632E-2</v>
      </c>
    </row>
    <row r="25" spans="1:4" x14ac:dyDescent="0.25">
      <c r="A25" s="119">
        <v>42458</v>
      </c>
      <c r="B25" s="120">
        <v>-2681512.6745825722</v>
      </c>
      <c r="C25" s="121">
        <v>169889400</v>
      </c>
      <c r="D25" s="122">
        <v>1.578387277006436E-2</v>
      </c>
    </row>
    <row r="26" spans="1:4" x14ac:dyDescent="0.25">
      <c r="A26" s="119">
        <v>42457</v>
      </c>
      <c r="B26" s="120">
        <v>-4416097.4623897914</v>
      </c>
      <c r="C26" s="121">
        <v>169889400</v>
      </c>
      <c r="D26" s="122">
        <v>2.5993955257890083E-2</v>
      </c>
    </row>
    <row r="27" spans="1:4" x14ac:dyDescent="0.25">
      <c r="A27" s="119">
        <v>42453</v>
      </c>
      <c r="B27" s="120">
        <v>-3158195.9124597432</v>
      </c>
      <c r="C27" s="121">
        <v>169889400</v>
      </c>
      <c r="D27" s="122">
        <v>1.8589717265819664E-2</v>
      </c>
    </row>
    <row r="28" spans="1:4" x14ac:dyDescent="0.25">
      <c r="A28" s="119">
        <v>42452</v>
      </c>
      <c r="B28" s="120">
        <v>-1630627.3298834758</v>
      </c>
      <c r="C28" s="121">
        <v>169889400</v>
      </c>
      <c r="D28" s="122">
        <v>9.5981699263372276E-3</v>
      </c>
    </row>
    <row r="29" spans="1:4" x14ac:dyDescent="0.25">
      <c r="A29" s="119">
        <v>42451</v>
      </c>
      <c r="B29" s="120">
        <v>-1519296.8949999991</v>
      </c>
      <c r="C29" s="121">
        <v>169889400</v>
      </c>
      <c r="D29" s="122">
        <v>8.9428586774689834E-3</v>
      </c>
    </row>
    <row r="30" spans="1:4" x14ac:dyDescent="0.25">
      <c r="A30" s="119">
        <v>42450</v>
      </c>
      <c r="B30" s="120">
        <v>-1519283.8865747377</v>
      </c>
      <c r="C30" s="121">
        <v>169889400</v>
      </c>
      <c r="D30" s="122">
        <v>8.9427821075048694E-3</v>
      </c>
    </row>
    <row r="31" spans="1:4" x14ac:dyDescent="0.25">
      <c r="A31" s="119">
        <v>42447</v>
      </c>
      <c r="B31" s="120">
        <v>-2248353.9985095127</v>
      </c>
      <c r="C31" s="121">
        <v>169889400</v>
      </c>
      <c r="D31" s="122">
        <v>1.3234221784934863E-2</v>
      </c>
    </row>
    <row r="32" spans="1:4" x14ac:dyDescent="0.25">
      <c r="A32" s="119">
        <v>42446</v>
      </c>
      <c r="B32" s="120">
        <v>-2976831.91580251</v>
      </c>
      <c r="C32" s="121">
        <v>169889400</v>
      </c>
      <c r="D32" s="122">
        <v>1.7522175696673893E-2</v>
      </c>
    </row>
    <row r="33" spans="1:4" x14ac:dyDescent="0.25">
      <c r="A33" s="119">
        <v>42445</v>
      </c>
      <c r="B33" s="120">
        <v>-2419424.7737954007</v>
      </c>
      <c r="C33" s="121">
        <v>169889400</v>
      </c>
      <c r="D33" s="122">
        <v>1.4241175575376691E-2</v>
      </c>
    </row>
    <row r="34" spans="1:4" x14ac:dyDescent="0.25">
      <c r="A34" s="119">
        <v>42444</v>
      </c>
      <c r="B34" s="120">
        <v>-4307576.8914994411</v>
      </c>
      <c r="C34" s="121">
        <v>169889400</v>
      </c>
      <c r="D34" s="122">
        <v>2.5355183381066983E-2</v>
      </c>
    </row>
    <row r="35" spans="1:4" x14ac:dyDescent="0.25">
      <c r="A35" s="119">
        <v>42443</v>
      </c>
      <c r="B35" s="120">
        <v>-6005890.3058432164</v>
      </c>
      <c r="C35" s="121">
        <v>169889400</v>
      </c>
      <c r="D35" s="122">
        <v>3.5351765947982727E-2</v>
      </c>
    </row>
    <row r="36" spans="1:4" x14ac:dyDescent="0.25">
      <c r="A36" s="119">
        <v>42440</v>
      </c>
      <c r="B36" s="120">
        <v>-6211393.9863060825</v>
      </c>
      <c r="C36" s="121">
        <v>169889400</v>
      </c>
      <c r="D36" s="122">
        <v>3.6561398099622944E-2</v>
      </c>
    </row>
    <row r="37" spans="1:4" x14ac:dyDescent="0.25">
      <c r="A37" s="119">
        <v>42439</v>
      </c>
      <c r="B37" s="120">
        <v>-5189417.628630056</v>
      </c>
      <c r="C37" s="121">
        <v>169889400</v>
      </c>
      <c r="D37" s="122">
        <v>3.0545858827154937E-2</v>
      </c>
    </row>
    <row r="38" spans="1:4" x14ac:dyDescent="0.25">
      <c r="A38" s="119">
        <v>42438</v>
      </c>
      <c r="B38" s="120">
        <v>-5765047.2200000007</v>
      </c>
      <c r="C38" s="121">
        <v>169889400</v>
      </c>
      <c r="D38" s="122">
        <v>3.3934119609581294E-2</v>
      </c>
    </row>
    <row r="39" spans="1:4" x14ac:dyDescent="0.25">
      <c r="A39" s="119">
        <v>42437</v>
      </c>
      <c r="B39" s="120">
        <v>-5162749.49</v>
      </c>
      <c r="C39" s="121">
        <v>169889400</v>
      </c>
      <c r="D39" s="122">
        <v>3.0388885298317611E-2</v>
      </c>
    </row>
    <row r="40" spans="1:4" x14ac:dyDescent="0.25">
      <c r="A40" s="119">
        <v>42436</v>
      </c>
      <c r="B40" s="120">
        <v>-4209142.8548000008</v>
      </c>
      <c r="C40" s="121">
        <v>169889400</v>
      </c>
      <c r="D40" s="122">
        <v>2.477578268449945E-2</v>
      </c>
    </row>
    <row r="41" spans="1:4" x14ac:dyDescent="0.25">
      <c r="A41" s="119">
        <v>42433</v>
      </c>
      <c r="B41" s="120">
        <v>-3252303.1826500003</v>
      </c>
      <c r="C41" s="121">
        <v>169889400</v>
      </c>
      <c r="D41" s="122">
        <v>1.9143649825415832E-2</v>
      </c>
    </row>
    <row r="42" spans="1:4" x14ac:dyDescent="0.25">
      <c r="A42" s="119">
        <v>42432</v>
      </c>
      <c r="B42" s="120">
        <v>-2159570.5470712059</v>
      </c>
      <c r="C42" s="121">
        <v>169889400</v>
      </c>
      <c r="D42" s="122">
        <v>1.2711626193695463E-2</v>
      </c>
    </row>
    <row r="43" spans="1:4" x14ac:dyDescent="0.25">
      <c r="A43" s="119">
        <v>42431</v>
      </c>
      <c r="B43" s="120">
        <v>-2090531.5748189993</v>
      </c>
      <c r="C43" s="121">
        <v>169889400</v>
      </c>
      <c r="D43" s="122">
        <v>1.2305250208776999E-2</v>
      </c>
    </row>
    <row r="44" spans="1:4" x14ac:dyDescent="0.25">
      <c r="A44" s="119">
        <v>42430</v>
      </c>
      <c r="B44" s="120">
        <v>-895848.56499999994</v>
      </c>
      <c r="C44" s="121">
        <v>169889400</v>
      </c>
      <c r="D44" s="122">
        <v>5.2731280762660883E-3</v>
      </c>
    </row>
    <row r="45" spans="1:4" x14ac:dyDescent="0.25">
      <c r="A45" s="119">
        <v>42429</v>
      </c>
      <c r="B45" s="120">
        <v>-3822045.8151000002</v>
      </c>
      <c r="C45" s="121">
        <v>172418215</v>
      </c>
      <c r="D45" s="122">
        <v>2.2167297202908637E-2</v>
      </c>
    </row>
    <row r="46" spans="1:4" x14ac:dyDescent="0.25">
      <c r="A46" s="119">
        <v>42426</v>
      </c>
      <c r="B46" s="120">
        <v>-1506900.1718106109</v>
      </c>
      <c r="C46" s="121">
        <v>172418215</v>
      </c>
      <c r="D46" s="122">
        <v>8.7397968469318105E-3</v>
      </c>
    </row>
    <row r="47" spans="1:4" x14ac:dyDescent="0.25">
      <c r="A47" s="119">
        <v>42425</v>
      </c>
      <c r="B47" s="120">
        <v>-2559447.6604647622</v>
      </c>
      <c r="C47" s="121">
        <v>172418215</v>
      </c>
      <c r="D47" s="122">
        <v>1.4844415715965753E-2</v>
      </c>
    </row>
    <row r="48" spans="1:4" x14ac:dyDescent="0.25">
      <c r="A48" s="119">
        <v>42424</v>
      </c>
      <c r="B48" s="120">
        <v>-2854865.0824488392</v>
      </c>
      <c r="C48" s="121">
        <v>172418215</v>
      </c>
      <c r="D48" s="122">
        <v>1.6557792820490799E-2</v>
      </c>
    </row>
    <row r="49" spans="1:4" x14ac:dyDescent="0.25">
      <c r="A49" s="119">
        <v>42423</v>
      </c>
      <c r="B49" s="120">
        <v>-3115758.7227181057</v>
      </c>
      <c r="C49" s="121">
        <v>172418215</v>
      </c>
      <c r="D49" s="122">
        <v>1.807093712644053E-2</v>
      </c>
    </row>
    <row r="50" spans="1:4" x14ac:dyDescent="0.25">
      <c r="A50" s="119">
        <v>42422</v>
      </c>
      <c r="B50" s="120">
        <v>-1136676.0411539078</v>
      </c>
      <c r="C50" s="121">
        <v>172418215</v>
      </c>
      <c r="D50" s="122">
        <v>6.5925519595125591E-3</v>
      </c>
    </row>
    <row r="51" spans="1:4" x14ac:dyDescent="0.25">
      <c r="A51" s="119">
        <v>42419</v>
      </c>
      <c r="B51" s="120">
        <v>-2258120.6191604058</v>
      </c>
      <c r="C51" s="121">
        <v>172418215</v>
      </c>
      <c r="D51" s="122">
        <v>1.309676369843178E-2</v>
      </c>
    </row>
    <row r="52" spans="1:4" x14ac:dyDescent="0.25">
      <c r="A52" s="119">
        <v>42418</v>
      </c>
      <c r="B52" s="120">
        <v>-1633688.2802972314</v>
      </c>
      <c r="C52" s="121">
        <v>172418215</v>
      </c>
      <c r="D52" s="122">
        <v>9.4751490165771134E-3</v>
      </c>
    </row>
    <row r="53" spans="1:4" x14ac:dyDescent="0.25">
      <c r="A53" s="119">
        <v>42417</v>
      </c>
      <c r="B53" s="120">
        <v>-1768944.2050262189</v>
      </c>
      <c r="C53" s="121">
        <v>172418215</v>
      </c>
      <c r="D53" s="122">
        <v>1.0259613260850769E-2</v>
      </c>
    </row>
    <row r="54" spans="1:4" x14ac:dyDescent="0.25">
      <c r="A54" s="119">
        <v>42416</v>
      </c>
      <c r="B54" s="120">
        <v>-976772.31382800196</v>
      </c>
      <c r="C54" s="121">
        <v>172418215</v>
      </c>
      <c r="D54" s="122">
        <v>5.6651341265074691E-3</v>
      </c>
    </row>
    <row r="55" spans="1:4" x14ac:dyDescent="0.25">
      <c r="A55" s="119">
        <v>42412</v>
      </c>
      <c r="B55" s="120">
        <v>-398550.11652910145</v>
      </c>
      <c r="C55" s="121">
        <v>172418215</v>
      </c>
      <c r="D55" s="122">
        <v>2.3115313920231773E-3</v>
      </c>
    </row>
    <row r="56" spans="1:4" x14ac:dyDescent="0.25">
      <c r="A56" s="119">
        <v>42411</v>
      </c>
      <c r="B56" s="120">
        <v>-960686.91962345527</v>
      </c>
      <c r="C56" s="121">
        <v>172418215</v>
      </c>
      <c r="D56" s="122">
        <v>5.5718412328039429E-3</v>
      </c>
    </row>
    <row r="57" spans="1:4" x14ac:dyDescent="0.25">
      <c r="A57" s="119">
        <v>42410</v>
      </c>
      <c r="B57" s="120">
        <v>-483549.94134869927</v>
      </c>
      <c r="C57" s="121">
        <v>172418215</v>
      </c>
      <c r="D57" s="122">
        <v>2.8045177323561738E-3</v>
      </c>
    </row>
    <row r="58" spans="1:4" x14ac:dyDescent="0.25">
      <c r="A58" s="119">
        <v>42409</v>
      </c>
      <c r="B58" s="120">
        <v>-1345908.5275529204</v>
      </c>
      <c r="C58" s="121">
        <v>172418215</v>
      </c>
      <c r="D58" s="122">
        <v>7.8060692575486895E-3</v>
      </c>
    </row>
    <row r="59" spans="1:4" x14ac:dyDescent="0.25">
      <c r="A59" s="119">
        <v>42408</v>
      </c>
      <c r="B59" s="120">
        <v>-1366360.9029623836</v>
      </c>
      <c r="C59" s="121">
        <v>172418215</v>
      </c>
      <c r="D59" s="122">
        <v>7.9246899926575833E-3</v>
      </c>
    </row>
    <row r="60" spans="1:4" x14ac:dyDescent="0.25">
      <c r="A60" s="119">
        <v>42405</v>
      </c>
      <c r="B60" s="120">
        <v>-3052079.360375911</v>
      </c>
      <c r="C60" s="121">
        <v>172418215</v>
      </c>
      <c r="D60" s="122">
        <v>1.7701606297083582E-2</v>
      </c>
    </row>
    <row r="61" spans="1:4" x14ac:dyDescent="0.25">
      <c r="A61" s="119">
        <v>42404</v>
      </c>
      <c r="B61" s="120">
        <v>-1749893.3987537152</v>
      </c>
      <c r="C61" s="121">
        <v>172418215</v>
      </c>
      <c r="D61" s="122">
        <v>1.0149121418254534E-2</v>
      </c>
    </row>
    <row r="62" spans="1:4" x14ac:dyDescent="0.25">
      <c r="A62" s="119">
        <v>42403</v>
      </c>
      <c r="B62" s="120">
        <v>-675132.40095816238</v>
      </c>
      <c r="C62" s="121">
        <v>172418215</v>
      </c>
      <c r="D62" s="122">
        <v>3.9156675004329584E-3</v>
      </c>
    </row>
    <row r="63" spans="1:4" x14ac:dyDescent="0.25">
      <c r="A63" s="119">
        <v>42402</v>
      </c>
      <c r="B63" s="120">
        <v>-149068.92750000017</v>
      </c>
      <c r="C63" s="121">
        <v>172418215</v>
      </c>
      <c r="D63" s="122">
        <v>8.645776056781481E-4</v>
      </c>
    </row>
    <row r="64" spans="1:4" x14ac:dyDescent="0.25">
      <c r="A64" s="119">
        <v>42401</v>
      </c>
      <c r="B64" s="120">
        <v>-133321.35000000009</v>
      </c>
      <c r="C64" s="121">
        <v>172418215</v>
      </c>
      <c r="D64" s="122">
        <v>7.7324399861116821E-4</v>
      </c>
    </row>
    <row r="65" spans="1:4" x14ac:dyDescent="0.25">
      <c r="A65" s="119">
        <v>42398</v>
      </c>
      <c r="B65" s="120">
        <v>-833604.02250000008</v>
      </c>
      <c r="C65" s="121">
        <v>162038475</v>
      </c>
      <c r="D65" s="122">
        <v>5.1444820281109169E-3</v>
      </c>
    </row>
    <row r="66" spans="1:4" x14ac:dyDescent="0.25">
      <c r="A66" s="119">
        <v>42397</v>
      </c>
      <c r="B66" s="120">
        <v>-996390.44499999972</v>
      </c>
      <c r="C66" s="121">
        <v>162038474</v>
      </c>
      <c r="D66" s="122">
        <v>6.1490979296682322E-3</v>
      </c>
    </row>
    <row r="67" spans="1:4" x14ac:dyDescent="0.25">
      <c r="A67" s="119">
        <v>42396</v>
      </c>
      <c r="B67" s="120">
        <v>-1083496.0043047564</v>
      </c>
      <c r="C67" s="121">
        <v>162038474</v>
      </c>
      <c r="D67" s="122">
        <v>6.6866588999397536E-3</v>
      </c>
    </row>
    <row r="68" spans="1:4" x14ac:dyDescent="0.25">
      <c r="A68" s="119">
        <v>42395</v>
      </c>
      <c r="B68" s="120">
        <v>-2511505.2137558283</v>
      </c>
      <c r="C68" s="121">
        <v>162038474</v>
      </c>
      <c r="D68" s="122">
        <v>1.5499437582680693E-2</v>
      </c>
    </row>
    <row r="69" spans="1:4" x14ac:dyDescent="0.25">
      <c r="A69" s="119">
        <v>42394</v>
      </c>
      <c r="B69" s="120">
        <v>-3037771.01</v>
      </c>
      <c r="C69" s="121">
        <v>162038474</v>
      </c>
      <c r="D69" s="122">
        <v>1.8747220552077032E-2</v>
      </c>
    </row>
    <row r="70" spans="1:4" x14ac:dyDescent="0.25">
      <c r="A70" s="119">
        <v>42391</v>
      </c>
      <c r="B70" s="120">
        <v>-4046756.0929053985</v>
      </c>
      <c r="C70" s="121">
        <v>162038474</v>
      </c>
      <c r="D70" s="122">
        <v>2.4974044700676448E-2</v>
      </c>
    </row>
    <row r="71" spans="1:4" x14ac:dyDescent="0.25">
      <c r="A71" s="119">
        <v>42390</v>
      </c>
      <c r="B71" s="120">
        <v>-4226814.6936474433</v>
      </c>
      <c r="C71" s="121">
        <v>162038474</v>
      </c>
      <c r="D71" s="122">
        <v>2.6085253639499487E-2</v>
      </c>
    </row>
    <row r="72" spans="1:4" x14ac:dyDescent="0.25">
      <c r="A72" s="119">
        <v>42389</v>
      </c>
      <c r="B72" s="120">
        <v>-9677809.329413157</v>
      </c>
      <c r="C72" s="121">
        <v>162038474</v>
      </c>
      <c r="D72" s="122">
        <v>5.9725379352888484E-2</v>
      </c>
    </row>
    <row r="73" spans="1:4" x14ac:dyDescent="0.25">
      <c r="A73" s="119">
        <v>42388</v>
      </c>
      <c r="B73" s="120">
        <v>-6558295.3685627962</v>
      </c>
      <c r="C73" s="121">
        <v>162038474</v>
      </c>
      <c r="D73" s="122">
        <v>3.9221613471391879E-2</v>
      </c>
    </row>
    <row r="74" spans="1:4" x14ac:dyDescent="0.25">
      <c r="A74" s="119">
        <v>42384</v>
      </c>
      <c r="B74" s="120">
        <v>-6269129.2284362707</v>
      </c>
      <c r="C74" s="121">
        <v>162038474</v>
      </c>
      <c r="D74" s="122">
        <v>3.8689140138633192E-2</v>
      </c>
    </row>
    <row r="75" spans="1:4" x14ac:dyDescent="0.25">
      <c r="A75" s="119">
        <v>42383</v>
      </c>
      <c r="B75" s="120">
        <v>-6399320.3741490785</v>
      </c>
      <c r="C75" s="121">
        <v>162038474</v>
      </c>
      <c r="D75" s="122">
        <v>3.9492598369872817E-2</v>
      </c>
    </row>
    <row r="76" spans="1:4" x14ac:dyDescent="0.25">
      <c r="A76" s="119">
        <v>42382</v>
      </c>
      <c r="B76" s="120">
        <v>-11969626.903551351</v>
      </c>
      <c r="C76" s="121">
        <v>162038474</v>
      </c>
      <c r="D76" s="122">
        <v>7.3869042382806879E-2</v>
      </c>
    </row>
    <row r="77" spans="1:4" x14ac:dyDescent="0.25">
      <c r="A77" s="119">
        <v>42381</v>
      </c>
      <c r="B77" s="120">
        <v>-5880943.4900000002</v>
      </c>
      <c r="C77" s="121">
        <v>162038474</v>
      </c>
      <c r="D77" s="122">
        <v>3.6293500826229702E-2</v>
      </c>
    </row>
    <row r="78" spans="1:4" x14ac:dyDescent="0.25">
      <c r="A78" s="119">
        <v>42380</v>
      </c>
      <c r="B78" s="120">
        <v>-2991029.4899999998</v>
      </c>
      <c r="C78" s="121">
        <v>162038474</v>
      </c>
      <c r="D78" s="122">
        <v>1.8458761158167903E-2</v>
      </c>
    </row>
    <row r="79" spans="1:4" x14ac:dyDescent="0.25">
      <c r="A79" s="119">
        <v>42377</v>
      </c>
      <c r="B79" s="120">
        <v>-4130856.82</v>
      </c>
      <c r="C79" s="121">
        <v>162038474</v>
      </c>
      <c r="D79" s="122">
        <v>2.5493061728043675E-2</v>
      </c>
    </row>
    <row r="80" spans="1:4" x14ac:dyDescent="0.25">
      <c r="A80" s="119">
        <v>42376</v>
      </c>
      <c r="B80" s="120">
        <v>-4039520.12</v>
      </c>
      <c r="C80" s="121">
        <v>162038474</v>
      </c>
      <c r="D80" s="122">
        <v>2.4929388806759562E-2</v>
      </c>
    </row>
    <row r="81" spans="1:4" x14ac:dyDescent="0.25">
      <c r="A81" s="119">
        <v>42375</v>
      </c>
      <c r="B81" s="120">
        <v>-91716.560000000245</v>
      </c>
      <c r="C81" s="121">
        <v>162038474</v>
      </c>
      <c r="D81" s="122">
        <v>5.6601717935211024E-4</v>
      </c>
    </row>
    <row r="82" spans="1:4" x14ac:dyDescent="0.25">
      <c r="A82" s="119">
        <v>42374</v>
      </c>
      <c r="B82" s="120">
        <v>-95441.129999999917</v>
      </c>
      <c r="C82" s="121">
        <v>162038474</v>
      </c>
      <c r="D82" s="122">
        <v>5.8900289322645627E-4</v>
      </c>
    </row>
    <row r="83" spans="1:4" x14ac:dyDescent="0.25">
      <c r="A83" s="119">
        <v>42373</v>
      </c>
      <c r="B83" s="120">
        <v>-106145.8299999997</v>
      </c>
      <c r="C83" s="121">
        <v>162038474</v>
      </c>
      <c r="D83" s="122">
        <v>6.5506559880340327E-4</v>
      </c>
    </row>
    <row r="84" spans="1:4" x14ac:dyDescent="0.25">
      <c r="A84" s="119">
        <v>42369</v>
      </c>
      <c r="B84" s="120">
        <v>-639604.53999999957</v>
      </c>
      <c r="C84" s="121">
        <v>162781257</v>
      </c>
      <c r="D84" s="122">
        <v>3.9292271836922823E-3</v>
      </c>
    </row>
    <row r="85" spans="1:4" x14ac:dyDescent="0.25">
      <c r="A85" s="119">
        <v>42368</v>
      </c>
      <c r="B85" s="120">
        <v>-2174291.0049999999</v>
      </c>
      <c r="C85" s="121">
        <v>162781257</v>
      </c>
      <c r="D85" s="122">
        <v>1.335713364714956E-2</v>
      </c>
    </row>
    <row r="86" spans="1:4" x14ac:dyDescent="0.25">
      <c r="A86" s="119">
        <v>42367</v>
      </c>
      <c r="B86" s="120">
        <v>-826751.46869506012</v>
      </c>
      <c r="C86" s="121">
        <v>162781257</v>
      </c>
      <c r="D86" s="122">
        <v>5.0789107046584616E-3</v>
      </c>
    </row>
    <row r="87" spans="1:4" x14ac:dyDescent="0.25">
      <c r="A87" s="119">
        <v>42366</v>
      </c>
      <c r="B87" s="120">
        <v>-789528.66500000004</v>
      </c>
      <c r="C87" s="121">
        <v>162781257</v>
      </c>
      <c r="D87" s="122">
        <v>4.8502430780467563E-3</v>
      </c>
    </row>
    <row r="88" spans="1:4" x14ac:dyDescent="0.25">
      <c r="A88" s="119">
        <v>42362</v>
      </c>
      <c r="B88" s="120">
        <v>-768641.82749999978</v>
      </c>
      <c r="C88" s="121">
        <v>162781257</v>
      </c>
      <c r="D88" s="122">
        <v>4.7219307779396234E-3</v>
      </c>
    </row>
    <row r="89" spans="1:4" x14ac:dyDescent="0.25">
      <c r="A89" s="119">
        <v>42361</v>
      </c>
      <c r="B89" s="120">
        <v>-1088852.0534999992</v>
      </c>
      <c r="C89" s="121">
        <v>162781257</v>
      </c>
      <c r="D89" s="122">
        <v>6.6890505305533992E-3</v>
      </c>
    </row>
    <row r="90" spans="1:4" x14ac:dyDescent="0.25">
      <c r="A90" s="119">
        <v>42360</v>
      </c>
      <c r="B90" s="120">
        <v>-852626.12607741682</v>
      </c>
      <c r="C90" s="121">
        <v>162781257</v>
      </c>
      <c r="D90" s="122">
        <v>5.2378642467260025E-3</v>
      </c>
    </row>
    <row r="91" spans="1:4" x14ac:dyDescent="0.25">
      <c r="A91" s="119">
        <v>42359</v>
      </c>
      <c r="B91" s="120">
        <v>-822973.94</v>
      </c>
      <c r="C91" s="121">
        <v>162781257</v>
      </c>
      <c r="D91" s="122">
        <v>5.0557045397431714E-3</v>
      </c>
    </row>
    <row r="92" spans="1:4" x14ac:dyDescent="0.25">
      <c r="A92" s="119">
        <v>42356</v>
      </c>
      <c r="B92" s="120">
        <v>-2246460.0662152772</v>
      </c>
      <c r="C92" s="121">
        <v>162781257</v>
      </c>
      <c r="D92" s="122">
        <v>1.3800483591395766E-2</v>
      </c>
    </row>
    <row r="93" spans="1:4" x14ac:dyDescent="0.25">
      <c r="A93" s="119">
        <v>42355</v>
      </c>
      <c r="B93" s="120">
        <v>-2417208.8549999995</v>
      </c>
      <c r="C93" s="121">
        <v>162781257</v>
      </c>
      <c r="D93" s="122">
        <v>1.4849429839456267E-2</v>
      </c>
    </row>
    <row r="94" spans="1:4" x14ac:dyDescent="0.25">
      <c r="A94" s="119">
        <v>42354</v>
      </c>
      <c r="B94" s="120">
        <v>-2471489.4875000003</v>
      </c>
      <c r="C94" s="121">
        <v>162781257</v>
      </c>
      <c r="D94" s="122">
        <v>1.5182887348633758E-2</v>
      </c>
    </row>
    <row r="95" spans="1:4" x14ac:dyDescent="0.25">
      <c r="A95" s="119">
        <v>42353</v>
      </c>
      <c r="B95" s="120">
        <v>-2019201.0399999993</v>
      </c>
      <c r="C95" s="121">
        <v>162781257</v>
      </c>
      <c r="D95" s="122">
        <v>1.2404382895261704E-2</v>
      </c>
    </row>
    <row r="96" spans="1:4" x14ac:dyDescent="0.25">
      <c r="A96" s="119">
        <v>42352</v>
      </c>
      <c r="B96" s="120">
        <v>-755221.4600000002</v>
      </c>
      <c r="C96" s="121">
        <v>162781257</v>
      </c>
      <c r="D96" s="122">
        <v>4.6394865964206194E-3</v>
      </c>
    </row>
    <row r="97" spans="1:4" x14ac:dyDescent="0.25">
      <c r="A97" s="119">
        <v>42349</v>
      </c>
      <c r="B97" s="120">
        <v>-3377208.5829984341</v>
      </c>
      <c r="C97" s="121">
        <v>162781257</v>
      </c>
      <c r="D97" s="122">
        <v>2.0746913036790434E-2</v>
      </c>
    </row>
    <row r="98" spans="1:4" x14ac:dyDescent="0.25">
      <c r="A98" s="119">
        <v>42348</v>
      </c>
      <c r="B98" s="120">
        <v>-2620223.0150239398</v>
      </c>
      <c r="C98" s="121">
        <v>162781257</v>
      </c>
      <c r="D98" s="122">
        <v>1.6096589148613956E-2</v>
      </c>
    </row>
    <row r="99" spans="1:4" x14ac:dyDescent="0.25">
      <c r="A99" s="119">
        <v>42347</v>
      </c>
      <c r="B99" s="120">
        <v>-1904868.4533302947</v>
      </c>
      <c r="C99" s="121">
        <v>162781257</v>
      </c>
      <c r="D99" s="122">
        <v>1.1702013416263856E-2</v>
      </c>
    </row>
    <row r="100" spans="1:4" x14ac:dyDescent="0.25">
      <c r="A100" s="119">
        <v>42346</v>
      </c>
      <c r="B100" s="120">
        <v>-2478073.8103587623</v>
      </c>
      <c r="C100" s="121">
        <v>162781257</v>
      </c>
      <c r="D100" s="122">
        <v>1.5223336249079109E-2</v>
      </c>
    </row>
    <row r="101" spans="1:4" x14ac:dyDescent="0.25">
      <c r="A101" s="119">
        <v>42345</v>
      </c>
      <c r="B101" s="120">
        <v>-1985714.1400000015</v>
      </c>
      <c r="C101" s="121">
        <v>162781257</v>
      </c>
      <c r="D101" s="122">
        <v>1.2198665722307338E-2</v>
      </c>
    </row>
    <row r="102" spans="1:4" x14ac:dyDescent="0.25">
      <c r="A102" s="119">
        <v>42342</v>
      </c>
      <c r="B102" s="120">
        <v>-6405638.3771976363</v>
      </c>
      <c r="C102" s="121">
        <v>162781257</v>
      </c>
      <c r="D102" s="122">
        <v>3.9351203543032204E-2</v>
      </c>
    </row>
    <row r="103" spans="1:4" x14ac:dyDescent="0.25">
      <c r="A103" s="119">
        <v>42341</v>
      </c>
      <c r="B103" s="120">
        <v>-25240072.065531254</v>
      </c>
      <c r="C103" s="121">
        <v>162781257</v>
      </c>
      <c r="D103" s="122">
        <v>0.15505514904293469</v>
      </c>
    </row>
    <row r="104" spans="1:4" x14ac:dyDescent="0.25">
      <c r="A104" s="119">
        <v>42340</v>
      </c>
      <c r="B104" s="120">
        <v>-32038718.699455772</v>
      </c>
      <c r="C104" s="121">
        <v>162781257</v>
      </c>
      <c r="D104" s="122">
        <v>0.19682068617676157</v>
      </c>
    </row>
    <row r="105" spans="1:4" x14ac:dyDescent="0.25">
      <c r="A105" s="119">
        <v>42339</v>
      </c>
      <c r="B105" s="120">
        <v>-33658842.669079296</v>
      </c>
      <c r="C105" s="121">
        <v>162781257</v>
      </c>
      <c r="D105" s="122">
        <v>0.20677345346386714</v>
      </c>
    </row>
    <row r="106" spans="1:4" x14ac:dyDescent="0.25">
      <c r="A106" s="119">
        <v>42338</v>
      </c>
      <c r="B106" s="120">
        <v>-1234009.67</v>
      </c>
      <c r="C106" s="121">
        <v>162781259</v>
      </c>
      <c r="D106" s="122">
        <v>7.5807846528573655E-3</v>
      </c>
    </row>
    <row r="107" spans="1:4" x14ac:dyDescent="0.25">
      <c r="A107" s="119">
        <v>42335</v>
      </c>
      <c r="B107" s="120">
        <v>-1485371.8234999997</v>
      </c>
      <c r="C107" s="121">
        <v>162781259</v>
      </c>
      <c r="D107" s="122">
        <v>9.1249559846443978E-3</v>
      </c>
    </row>
    <row r="108" spans="1:4" x14ac:dyDescent="0.25">
      <c r="A108" s="119">
        <v>42333</v>
      </c>
      <c r="B108" s="120">
        <v>-962438.66775399237</v>
      </c>
      <c r="C108" s="121">
        <v>162781259</v>
      </c>
      <c r="D108" s="122">
        <v>5.9124660520901385E-3</v>
      </c>
    </row>
    <row r="109" spans="1:4" x14ac:dyDescent="0.25">
      <c r="A109" s="119">
        <v>42332</v>
      </c>
      <c r="B109" s="120">
        <v>-646665.77190367272</v>
      </c>
      <c r="C109" s="121">
        <v>162781259</v>
      </c>
      <c r="D109" s="122">
        <v>3.972605789365917E-3</v>
      </c>
    </row>
    <row r="110" spans="1:4" x14ac:dyDescent="0.25">
      <c r="A110" s="119">
        <v>42331</v>
      </c>
      <c r="B110" s="120">
        <v>-301230.19713738852</v>
      </c>
      <c r="C110" s="121">
        <v>162781259</v>
      </c>
      <c r="D110" s="122">
        <v>1.8505213621513303E-3</v>
      </c>
    </row>
    <row r="111" spans="1:4" x14ac:dyDescent="0.25">
      <c r="A111" s="119">
        <v>42328</v>
      </c>
      <c r="B111" s="120">
        <v>-1169985.3267426242</v>
      </c>
      <c r="C111" s="121">
        <v>162781259</v>
      </c>
      <c r="D111" s="122">
        <v>7.1874694539782631E-3</v>
      </c>
    </row>
    <row r="112" spans="1:4" x14ac:dyDescent="0.25">
      <c r="A112" s="119">
        <v>42327</v>
      </c>
      <c r="B112" s="120">
        <v>-7908474.7027733354</v>
      </c>
      <c r="C112" s="121">
        <v>162781259</v>
      </c>
      <c r="D112" s="122">
        <v>4.8583447206126694E-2</v>
      </c>
    </row>
    <row r="113" spans="1:4" x14ac:dyDescent="0.25">
      <c r="A113" s="119">
        <v>42326</v>
      </c>
      <c r="B113" s="120">
        <v>-988373.60935600812</v>
      </c>
      <c r="C113" s="121">
        <v>162781258</v>
      </c>
      <c r="D113" s="122">
        <v>6.071789968326748E-3</v>
      </c>
    </row>
    <row r="114" spans="1:4" x14ac:dyDescent="0.25">
      <c r="A114" s="119">
        <v>42325</v>
      </c>
      <c r="B114" s="120">
        <v>-3484596.4857484298</v>
      </c>
      <c r="C114" s="121">
        <v>162781257</v>
      </c>
      <c r="D114" s="122">
        <v>2.140661984044287E-2</v>
      </c>
    </row>
    <row r="115" spans="1:4" x14ac:dyDescent="0.25">
      <c r="A115" s="119">
        <v>42324</v>
      </c>
      <c r="B115" s="120">
        <v>-2998684.6819790658</v>
      </c>
      <c r="C115" s="121">
        <v>162781257</v>
      </c>
      <c r="D115" s="122">
        <v>1.8421559934133361E-2</v>
      </c>
    </row>
    <row r="116" spans="1:4" x14ac:dyDescent="0.25">
      <c r="A116" s="119">
        <v>42321</v>
      </c>
      <c r="B116" s="120">
        <v>-3092032.7131344252</v>
      </c>
      <c r="C116" s="121">
        <v>162781257</v>
      </c>
      <c r="D116" s="122">
        <v>1.8995016810408494E-2</v>
      </c>
    </row>
    <row r="117" spans="1:4" x14ac:dyDescent="0.25">
      <c r="A117" s="119">
        <v>42320</v>
      </c>
      <c r="B117" s="120">
        <v>-3852905.0067307027</v>
      </c>
      <c r="C117" s="121">
        <v>162781257</v>
      </c>
      <c r="D117" s="122">
        <v>2.3669217683524233E-2</v>
      </c>
    </row>
    <row r="118" spans="1:4" x14ac:dyDescent="0.25">
      <c r="A118" s="119">
        <v>42319</v>
      </c>
      <c r="B118" s="120">
        <v>-796184.91106481594</v>
      </c>
      <c r="C118" s="121">
        <v>162781257</v>
      </c>
      <c r="D118" s="122">
        <v>4.8911338180956301E-3</v>
      </c>
    </row>
    <row r="119" spans="1:4" x14ac:dyDescent="0.25">
      <c r="A119" s="119">
        <v>42318</v>
      </c>
      <c r="B119" s="120">
        <v>-193241.75600000008</v>
      </c>
      <c r="C119" s="121">
        <v>162781257</v>
      </c>
      <c r="D119" s="122">
        <v>1.1871253457638559E-3</v>
      </c>
    </row>
    <row r="120" spans="1:4" x14ac:dyDescent="0.25">
      <c r="A120" s="119">
        <v>42317</v>
      </c>
      <c r="B120" s="120">
        <v>-1471033.9190649129</v>
      </c>
      <c r="C120" s="121">
        <v>162781257</v>
      </c>
      <c r="D120" s="122">
        <v>9.036875290039768E-3</v>
      </c>
    </row>
    <row r="121" spans="1:4" x14ac:dyDescent="0.25">
      <c r="A121" s="119">
        <v>42314</v>
      </c>
      <c r="B121" s="120">
        <v>-1450225.8507878301</v>
      </c>
      <c r="C121" s="121">
        <v>162781257</v>
      </c>
      <c r="D121" s="122">
        <v>8.9090468860787211E-3</v>
      </c>
    </row>
    <row r="122" spans="1:4" x14ac:dyDescent="0.25">
      <c r="A122" s="119">
        <v>42313</v>
      </c>
      <c r="B122" s="120">
        <v>-1273961.128196703</v>
      </c>
      <c r="C122" s="121">
        <v>162781257</v>
      </c>
      <c r="D122" s="122">
        <v>7.8262150795205074E-3</v>
      </c>
    </row>
    <row r="123" spans="1:4" x14ac:dyDescent="0.25">
      <c r="A123" s="119">
        <v>42312</v>
      </c>
      <c r="B123" s="120">
        <v>-1023218.0508000004</v>
      </c>
      <c r="C123" s="121">
        <v>162781257</v>
      </c>
      <c r="D123" s="122">
        <v>6.2858468453772937E-3</v>
      </c>
    </row>
    <row r="124" spans="1:4" x14ac:dyDescent="0.25">
      <c r="A124" s="119">
        <v>42311</v>
      </c>
      <c r="B124" s="120">
        <v>-891445.5741999998</v>
      </c>
      <c r="C124" s="121">
        <v>162781257</v>
      </c>
      <c r="D124" s="122">
        <v>5.4763404007870499E-3</v>
      </c>
    </row>
    <row r="125" spans="1:4" x14ac:dyDescent="0.25">
      <c r="A125" s="119">
        <v>42310</v>
      </c>
      <c r="B125" s="120">
        <v>-667116.58250000025</v>
      </c>
      <c r="C125" s="121">
        <v>162781257</v>
      </c>
      <c r="D125" s="122">
        <v>4.0982395319628245E-3</v>
      </c>
    </row>
    <row r="126" spans="1:4" x14ac:dyDescent="0.25">
      <c r="A126" s="119">
        <v>42307</v>
      </c>
      <c r="B126" s="120">
        <v>-559579.1401607478</v>
      </c>
      <c r="C126" s="121">
        <v>164376714</v>
      </c>
      <c r="D126" s="122">
        <v>3.4042482450449022E-3</v>
      </c>
    </row>
    <row r="127" spans="1:4" x14ac:dyDescent="0.25">
      <c r="A127" s="119">
        <v>42306</v>
      </c>
      <c r="B127" s="120">
        <v>-495161.19</v>
      </c>
      <c r="C127" s="121">
        <v>164376714</v>
      </c>
      <c r="D127" s="122">
        <v>3.0123560567100762E-3</v>
      </c>
    </row>
    <row r="128" spans="1:4" x14ac:dyDescent="0.25">
      <c r="A128" s="119">
        <v>42305</v>
      </c>
      <c r="B128" s="120">
        <v>-551927.02000000025</v>
      </c>
      <c r="C128" s="121">
        <v>164376714</v>
      </c>
      <c r="D128" s="122">
        <v>3.3576959081929344E-3</v>
      </c>
    </row>
    <row r="129" spans="1:4" x14ac:dyDescent="0.25">
      <c r="A129" s="119">
        <v>42304</v>
      </c>
      <c r="B129" s="120">
        <v>-614004.69294263562</v>
      </c>
      <c r="C129" s="121">
        <v>164376714</v>
      </c>
      <c r="D129" s="122">
        <v>3.7353508170423436E-3</v>
      </c>
    </row>
    <row r="130" spans="1:4" x14ac:dyDescent="0.25">
      <c r="A130" s="119">
        <v>42303</v>
      </c>
      <c r="B130" s="120">
        <v>-995166.60762320133</v>
      </c>
      <c r="C130" s="121">
        <v>164376714</v>
      </c>
      <c r="D130" s="122">
        <v>6.0541823924233048E-3</v>
      </c>
    </row>
    <row r="131" spans="1:4" x14ac:dyDescent="0.25">
      <c r="A131" s="119">
        <v>42300</v>
      </c>
      <c r="B131" s="120">
        <v>-1597496.5205201542</v>
      </c>
      <c r="C131" s="121">
        <v>164376714</v>
      </c>
      <c r="D131" s="122">
        <v>9.7185086722207763E-3</v>
      </c>
    </row>
    <row r="132" spans="1:4" x14ac:dyDescent="0.25">
      <c r="A132" s="119">
        <v>42299</v>
      </c>
      <c r="B132" s="120">
        <v>-1758426.6573328495</v>
      </c>
      <c r="C132" s="121">
        <v>164376714</v>
      </c>
      <c r="D132" s="122">
        <v>1.0697541120896537E-2</v>
      </c>
    </row>
    <row r="133" spans="1:4" x14ac:dyDescent="0.25">
      <c r="A133" s="119">
        <v>42298</v>
      </c>
      <c r="B133" s="120">
        <v>-1540615.4968618103</v>
      </c>
      <c r="C133" s="121">
        <v>164376714</v>
      </c>
      <c r="D133" s="122">
        <v>9.3724680301238428E-3</v>
      </c>
    </row>
    <row r="134" spans="1:4" x14ac:dyDescent="0.25">
      <c r="A134" s="119">
        <v>42297</v>
      </c>
      <c r="B134" s="120">
        <v>-1150557.7712519565</v>
      </c>
      <c r="C134" s="121">
        <v>164376714</v>
      </c>
      <c r="D134" s="122">
        <v>6.9995180172050192E-3</v>
      </c>
    </row>
    <row r="135" spans="1:4" x14ac:dyDescent="0.25">
      <c r="A135" s="119">
        <v>42296</v>
      </c>
      <c r="B135" s="120">
        <v>-546057.44662199309</v>
      </c>
      <c r="C135" s="121">
        <v>164376714</v>
      </c>
      <c r="D135" s="122">
        <v>3.3219878493373038E-3</v>
      </c>
    </row>
    <row r="136" spans="1:4" x14ac:dyDescent="0.25">
      <c r="A136" s="119">
        <v>42293</v>
      </c>
      <c r="B136" s="120">
        <v>-1260571.2126904745</v>
      </c>
      <c r="C136" s="121">
        <v>164376714</v>
      </c>
      <c r="D136" s="122">
        <v>7.6687943323314909E-3</v>
      </c>
    </row>
    <row r="137" spans="1:4" x14ac:dyDescent="0.25">
      <c r="A137" s="119">
        <v>42292</v>
      </c>
      <c r="B137" s="120">
        <v>-1613486.4552377779</v>
      </c>
      <c r="C137" s="121">
        <v>164376714</v>
      </c>
      <c r="D137" s="122">
        <v>9.8157848272704736E-3</v>
      </c>
    </row>
    <row r="138" spans="1:4" x14ac:dyDescent="0.25">
      <c r="A138" s="119">
        <v>42291</v>
      </c>
      <c r="B138" s="120">
        <v>-2352328.6380500006</v>
      </c>
      <c r="C138" s="121">
        <v>164376714</v>
      </c>
      <c r="D138" s="122">
        <v>1.4310595344119123E-2</v>
      </c>
    </row>
    <row r="139" spans="1:4" x14ac:dyDescent="0.25">
      <c r="A139" s="119">
        <v>42290</v>
      </c>
      <c r="B139" s="120">
        <v>-1459200.4138443116</v>
      </c>
      <c r="C139" s="121">
        <v>164376714</v>
      </c>
      <c r="D139" s="122">
        <v>8.8771723094812054E-3</v>
      </c>
    </row>
    <row r="140" spans="1:4" x14ac:dyDescent="0.25">
      <c r="A140" s="119">
        <v>42289</v>
      </c>
      <c r="B140" s="120">
        <v>-3924632.4800000004</v>
      </c>
      <c r="C140" s="121">
        <v>164376714</v>
      </c>
      <c r="D140" s="122">
        <v>2.3875842170686053E-2</v>
      </c>
    </row>
    <row r="141" spans="1:4" x14ac:dyDescent="0.25">
      <c r="A141" s="119">
        <v>42286</v>
      </c>
      <c r="B141" s="120">
        <v>-1474531.2306964537</v>
      </c>
      <c r="C141" s="121">
        <v>164376714</v>
      </c>
      <c r="D141" s="122">
        <v>8.9704386638149586E-3</v>
      </c>
    </row>
    <row r="142" spans="1:4" x14ac:dyDescent="0.25">
      <c r="A142" s="119">
        <v>42285</v>
      </c>
      <c r="B142" s="120">
        <v>-1301959.7474535373</v>
      </c>
      <c r="C142" s="121">
        <v>164376714</v>
      </c>
      <c r="D142" s="122">
        <v>7.9205850741944951E-3</v>
      </c>
    </row>
    <row r="143" spans="1:4" x14ac:dyDescent="0.25">
      <c r="A143" s="119">
        <v>42284</v>
      </c>
      <c r="B143" s="120">
        <v>-1758381.2754376649</v>
      </c>
      <c r="C143" s="121">
        <v>164376714</v>
      </c>
      <c r="D143" s="122">
        <v>1.0697265036200108E-2</v>
      </c>
    </row>
    <row r="144" spans="1:4" x14ac:dyDescent="0.25">
      <c r="A144" s="119">
        <v>42283</v>
      </c>
      <c r="B144" s="120">
        <v>-843981.31268948212</v>
      </c>
      <c r="C144" s="121">
        <v>164376714</v>
      </c>
      <c r="D144" s="122">
        <v>5.1344335347248892E-3</v>
      </c>
    </row>
    <row r="145" spans="1:4" x14ac:dyDescent="0.25">
      <c r="A145" s="119">
        <v>42282</v>
      </c>
      <c r="B145" s="120">
        <v>-958880.94805188593</v>
      </c>
      <c r="C145" s="121">
        <v>164376714</v>
      </c>
      <c r="D145" s="122">
        <v>5.8334354344854828E-3</v>
      </c>
    </row>
    <row r="146" spans="1:4" x14ac:dyDescent="0.25">
      <c r="A146" s="119">
        <v>42279</v>
      </c>
      <c r="B146" s="120">
        <v>-161253.83070106854</v>
      </c>
      <c r="C146" s="121">
        <v>164376714</v>
      </c>
      <c r="D146" s="122">
        <v>9.8100166852750528E-4</v>
      </c>
    </row>
    <row r="147" spans="1:4" x14ac:dyDescent="0.25">
      <c r="A147" s="119">
        <v>42278</v>
      </c>
      <c r="B147" s="120">
        <v>-192156.20432785957</v>
      </c>
      <c r="C147" s="121">
        <v>164376714</v>
      </c>
      <c r="D147" s="122">
        <v>1.1689989393987982E-3</v>
      </c>
    </row>
    <row r="148" spans="1:4" x14ac:dyDescent="0.25">
      <c r="A148" s="119">
        <v>42277</v>
      </c>
      <c r="B148" s="120">
        <v>-425640.73895901075</v>
      </c>
      <c r="C148" s="121">
        <v>166792128</v>
      </c>
      <c r="D148" s="122">
        <v>2.5519234274594227E-3</v>
      </c>
    </row>
    <row r="149" spans="1:4" x14ac:dyDescent="0.25">
      <c r="A149" s="119">
        <v>42276</v>
      </c>
      <c r="B149" s="120">
        <v>-1031224.5207016612</v>
      </c>
      <c r="C149" s="121">
        <v>166792128</v>
      </c>
      <c r="D149" s="122">
        <v>6.1826929907726896E-3</v>
      </c>
    </row>
    <row r="150" spans="1:4" x14ac:dyDescent="0.25">
      <c r="A150" s="119">
        <v>42275</v>
      </c>
      <c r="B150" s="120">
        <v>-4329496.1184623633</v>
      </c>
      <c r="C150" s="121">
        <v>166792128</v>
      </c>
      <c r="D150" s="122">
        <v>2.5957436783001914E-2</v>
      </c>
    </row>
    <row r="151" spans="1:4" x14ac:dyDescent="0.25">
      <c r="A151" s="119">
        <v>42272</v>
      </c>
      <c r="B151" s="120">
        <v>-740220.7762151038</v>
      </c>
      <c r="C151" s="121">
        <v>166792128</v>
      </c>
      <c r="D151" s="122">
        <v>4.4379838850374508E-3</v>
      </c>
    </row>
    <row r="152" spans="1:4" x14ac:dyDescent="0.25">
      <c r="A152" s="119">
        <v>42271</v>
      </c>
      <c r="B152" s="120">
        <v>-1582513.4516433303</v>
      </c>
      <c r="C152" s="121">
        <v>166792128</v>
      </c>
      <c r="D152" s="122">
        <v>9.4879384933762006E-3</v>
      </c>
    </row>
    <row r="153" spans="1:4" x14ac:dyDescent="0.25">
      <c r="A153" s="119">
        <v>42270</v>
      </c>
      <c r="B153" s="120">
        <v>-184574.50829018053</v>
      </c>
      <c r="C153" s="121">
        <v>166792128</v>
      </c>
      <c r="D153" s="122">
        <v>1.1066140261138736E-3</v>
      </c>
    </row>
    <row r="154" spans="1:4" x14ac:dyDescent="0.25">
      <c r="A154" s="119">
        <v>42269</v>
      </c>
      <c r="B154" s="120">
        <v>-225387.6012604516</v>
      </c>
      <c r="C154" s="121">
        <v>166792128</v>
      </c>
      <c r="D154" s="122">
        <v>1.3513083858517087E-3</v>
      </c>
    </row>
    <row r="155" spans="1:4" x14ac:dyDescent="0.25">
      <c r="A155" s="119">
        <v>42268</v>
      </c>
      <c r="B155" s="120">
        <v>-65835.074521541945</v>
      </c>
      <c r="C155" s="121">
        <v>166792128</v>
      </c>
      <c r="D155" s="122">
        <v>3.9471331957310326E-4</v>
      </c>
    </row>
    <row r="156" spans="1:4" x14ac:dyDescent="0.25">
      <c r="A156" s="119">
        <v>42265</v>
      </c>
      <c r="B156" s="120">
        <v>-32328.883774341732</v>
      </c>
      <c r="C156" s="121">
        <v>166792128</v>
      </c>
      <c r="D156" s="122">
        <v>1.9382739558513056E-4</v>
      </c>
    </row>
    <row r="157" spans="1:4" x14ac:dyDescent="0.25">
      <c r="A157" s="119">
        <v>42264</v>
      </c>
      <c r="B157" s="120">
        <v>-318516.56589653407</v>
      </c>
      <c r="C157" s="121">
        <v>166792128</v>
      </c>
      <c r="D157" s="122">
        <v>1.9096618630378892E-3</v>
      </c>
    </row>
    <row r="158" spans="1:4" x14ac:dyDescent="0.25">
      <c r="A158" s="119">
        <v>42263</v>
      </c>
      <c r="B158" s="120">
        <v>-30690.390812877311</v>
      </c>
      <c r="C158" s="121">
        <v>166792128</v>
      </c>
      <c r="D158" s="122">
        <v>1.8400383268014491E-4</v>
      </c>
    </row>
    <row r="159" spans="1:4" x14ac:dyDescent="0.25">
      <c r="A159" s="119">
        <v>42262</v>
      </c>
      <c r="B159" s="120">
        <v>-98353.573084074393</v>
      </c>
      <c r="C159" s="121">
        <v>166792128</v>
      </c>
      <c r="D159" s="122">
        <v>5.8967754811590622E-4</v>
      </c>
    </row>
    <row r="160" spans="1:4" x14ac:dyDescent="0.25">
      <c r="A160" s="119">
        <v>42261</v>
      </c>
      <c r="B160" s="120">
        <v>-1378.801076245898</v>
      </c>
      <c r="C160" s="121">
        <v>166792128</v>
      </c>
      <c r="D160" s="122">
        <v>8.2665836378434953E-6</v>
      </c>
    </row>
    <row r="161" spans="1:4" x14ac:dyDescent="0.25">
      <c r="A161" s="119">
        <v>42258</v>
      </c>
      <c r="B161" s="120">
        <v>-1006242.0738803782</v>
      </c>
      <c r="C161" s="121">
        <v>166792128</v>
      </c>
      <c r="D161" s="122">
        <v>6.0329110608887855E-3</v>
      </c>
    </row>
    <row r="162" spans="1:4" x14ac:dyDescent="0.25">
      <c r="A162" s="119">
        <v>42257</v>
      </c>
      <c r="B162" s="120">
        <v>-950049.05571693205</v>
      </c>
      <c r="C162" s="121">
        <v>166792128</v>
      </c>
      <c r="D162" s="122">
        <v>5.6960065628333017E-3</v>
      </c>
    </row>
    <row r="163" spans="1:4" x14ac:dyDescent="0.25">
      <c r="A163" s="119">
        <v>42256</v>
      </c>
      <c r="B163" s="120">
        <v>-515856.74411270069</v>
      </c>
      <c r="C163" s="121">
        <v>166792128</v>
      </c>
      <c r="D163" s="122">
        <v>3.0928122945508597E-3</v>
      </c>
    </row>
    <row r="164" spans="1:4" x14ac:dyDescent="0.25">
      <c r="A164" s="119">
        <v>42255</v>
      </c>
      <c r="B164" s="120">
        <v>-3267508.760505537</v>
      </c>
      <c r="C164" s="121">
        <v>166792128</v>
      </c>
      <c r="D164" s="122">
        <v>1.9590305607861402E-2</v>
      </c>
    </row>
    <row r="165" spans="1:4" x14ac:dyDescent="0.25">
      <c r="A165" s="119">
        <v>42251</v>
      </c>
      <c r="B165" s="120">
        <v>-3582288.8761888575</v>
      </c>
      <c r="C165" s="121">
        <v>166792128</v>
      </c>
      <c r="D165" s="122">
        <v>2.1477565633006717E-2</v>
      </c>
    </row>
    <row r="166" spans="1:4" x14ac:dyDescent="0.25">
      <c r="A166" s="119">
        <v>42250</v>
      </c>
      <c r="B166" s="120">
        <v>-2966324.3305423674</v>
      </c>
      <c r="C166" s="121">
        <v>166792128</v>
      </c>
      <c r="D166" s="122">
        <v>1.7784558336844097E-2</v>
      </c>
    </row>
    <row r="167" spans="1:4" x14ac:dyDescent="0.25">
      <c r="A167" s="119">
        <v>42249</v>
      </c>
      <c r="B167" s="120">
        <v>-851324.48000000045</v>
      </c>
      <c r="C167" s="121">
        <v>166792128</v>
      </c>
      <c r="D167" s="122">
        <v>5.1041046733332667E-3</v>
      </c>
    </row>
    <row r="168" spans="1:4" x14ac:dyDescent="0.25">
      <c r="A168" s="119">
        <v>42248</v>
      </c>
      <c r="B168" s="120">
        <v>-931134.49400000134</v>
      </c>
      <c r="C168" s="121">
        <v>166792128</v>
      </c>
      <c r="D168" s="122">
        <v>5.5826045579321429E-3</v>
      </c>
    </row>
    <row r="169" spans="1:4" x14ac:dyDescent="0.25">
      <c r="A169" s="119">
        <v>42247</v>
      </c>
      <c r="B169" s="120">
        <v>-1023124.6000000001</v>
      </c>
      <c r="C169" s="121">
        <v>169005363</v>
      </c>
      <c r="D169" s="122">
        <v>6.053799606347404E-3</v>
      </c>
    </row>
    <row r="170" spans="1:4" x14ac:dyDescent="0.25">
      <c r="A170" s="119">
        <v>42244</v>
      </c>
      <c r="B170" s="120">
        <v>-1049033.5099999991</v>
      </c>
      <c r="C170" s="121">
        <v>169005363</v>
      </c>
      <c r="D170" s="122">
        <v>6.207101901257412E-3</v>
      </c>
    </row>
    <row r="171" spans="1:4" x14ac:dyDescent="0.25">
      <c r="A171" s="119">
        <v>42243</v>
      </c>
      <c r="B171" s="120">
        <v>-8610289.5700000003</v>
      </c>
      <c r="C171" s="121">
        <v>169005363</v>
      </c>
      <c r="D171" s="122">
        <v>5.0946842260857723E-2</v>
      </c>
    </row>
    <row r="172" spans="1:4" x14ac:dyDescent="0.25">
      <c r="A172" s="119">
        <v>42242</v>
      </c>
      <c r="B172" s="120">
        <v>-7968151.8799999999</v>
      </c>
      <c r="C172" s="121">
        <v>169005363</v>
      </c>
      <c r="D172" s="122">
        <v>4.7147331531721869E-2</v>
      </c>
    </row>
    <row r="173" spans="1:4" x14ac:dyDescent="0.25">
      <c r="A173" s="119">
        <v>42241</v>
      </c>
      <c r="B173" s="120">
        <v>-3293668.0900000003</v>
      </c>
      <c r="C173" s="121">
        <v>169005363</v>
      </c>
      <c r="D173" s="122">
        <v>1.948854185177544E-2</v>
      </c>
    </row>
    <row r="174" spans="1:4" x14ac:dyDescent="0.25">
      <c r="A174" s="119">
        <v>42240</v>
      </c>
      <c r="B174" s="120">
        <v>-3042931.82</v>
      </c>
      <c r="C174" s="121">
        <v>169005363</v>
      </c>
      <c r="D174" s="122">
        <v>1.800494236387043E-2</v>
      </c>
    </row>
    <row r="175" spans="1:4" x14ac:dyDescent="0.25">
      <c r="A175" s="119">
        <v>42237</v>
      </c>
      <c r="B175" s="120">
        <v>-2053032.6300000004</v>
      </c>
      <c r="C175" s="121">
        <v>169005363</v>
      </c>
      <c r="D175" s="122">
        <v>1.2147736578039836E-2</v>
      </c>
    </row>
    <row r="176" spans="1:4" x14ac:dyDescent="0.25">
      <c r="A176" s="119">
        <v>42236</v>
      </c>
      <c r="B176" s="120">
        <v>-2799766.6981178368</v>
      </c>
      <c r="C176" s="121">
        <v>169005363</v>
      </c>
      <c r="D176" s="122">
        <v>1.6566141147354222E-2</v>
      </c>
    </row>
    <row r="177" spans="1:4" x14ac:dyDescent="0.25">
      <c r="A177" s="119">
        <v>42235</v>
      </c>
      <c r="B177" s="120">
        <v>-902705.5279999997</v>
      </c>
      <c r="C177" s="121">
        <v>169005363</v>
      </c>
      <c r="D177" s="122">
        <v>5.3412833295710246E-3</v>
      </c>
    </row>
    <row r="178" spans="1:4" x14ac:dyDescent="0.25">
      <c r="A178" s="119">
        <v>42234</v>
      </c>
      <c r="B178" s="120">
        <v>-2751535.98</v>
      </c>
      <c r="C178" s="121">
        <v>169005363</v>
      </c>
      <c r="D178" s="122">
        <v>1.6280761338916802E-2</v>
      </c>
    </row>
    <row r="179" spans="1:4" x14ac:dyDescent="0.25">
      <c r="A179" s="119">
        <v>42233</v>
      </c>
      <c r="B179" s="120">
        <v>-4025985.9353105724</v>
      </c>
      <c r="C179" s="121">
        <v>169005363</v>
      </c>
      <c r="D179" s="122">
        <v>2.3821646034454969E-2</v>
      </c>
    </row>
    <row r="180" spans="1:4" x14ac:dyDescent="0.25">
      <c r="A180" s="119">
        <v>42230</v>
      </c>
      <c r="B180" s="120">
        <v>-4014474.1122302022</v>
      </c>
      <c r="C180" s="121">
        <v>169005363</v>
      </c>
      <c r="D180" s="122">
        <v>2.3753530899668564E-2</v>
      </c>
    </row>
    <row r="181" spans="1:4" x14ac:dyDescent="0.25">
      <c r="A181" s="119">
        <v>42229</v>
      </c>
      <c r="B181" s="120">
        <v>-1110330.29165</v>
      </c>
      <c r="C181" s="121">
        <v>169005363</v>
      </c>
      <c r="D181" s="122">
        <v>6.5697932417091405E-3</v>
      </c>
    </row>
    <row r="182" spans="1:4" x14ac:dyDescent="0.25">
      <c r="A182" s="119">
        <v>42228</v>
      </c>
      <c r="B182" s="120">
        <v>-1292485.7499861342</v>
      </c>
      <c r="C182" s="121">
        <v>169005363</v>
      </c>
      <c r="D182" s="122">
        <v>7.6476019875542896E-3</v>
      </c>
    </row>
    <row r="183" spans="1:4" x14ac:dyDescent="0.25">
      <c r="A183" s="119">
        <v>42227</v>
      </c>
      <c r="B183" s="120">
        <v>-1086374.7817927049</v>
      </c>
      <c r="C183" s="121">
        <v>169005363</v>
      </c>
      <c r="D183" s="122">
        <v>6.4280491607399759E-3</v>
      </c>
    </row>
    <row r="184" spans="1:4" x14ac:dyDescent="0.25">
      <c r="A184" s="119">
        <v>42226</v>
      </c>
      <c r="B184" s="120">
        <v>-1552377.7369999997</v>
      </c>
      <c r="C184" s="121">
        <v>169005363</v>
      </c>
      <c r="D184" s="122">
        <v>9.1853755966312123E-3</v>
      </c>
    </row>
    <row r="185" spans="1:4" x14ac:dyDescent="0.25">
      <c r="A185" s="119">
        <v>42223</v>
      </c>
      <c r="B185" s="120">
        <v>-1214424.0579999993</v>
      </c>
      <c r="C185" s="121">
        <v>169005363</v>
      </c>
      <c r="D185" s="122">
        <v>7.185713142132651E-3</v>
      </c>
    </row>
    <row r="186" spans="1:4" x14ac:dyDescent="0.25">
      <c r="A186" s="119">
        <v>42222</v>
      </c>
      <c r="B186" s="120">
        <v>-2473771.8084999993</v>
      </c>
      <c r="C186" s="121">
        <v>169005363</v>
      </c>
      <c r="D186" s="122">
        <v>1.4637238514732809E-2</v>
      </c>
    </row>
    <row r="187" spans="1:4" x14ac:dyDescent="0.25">
      <c r="A187" s="119">
        <v>42221</v>
      </c>
      <c r="B187" s="120">
        <v>-6873802.1824085684</v>
      </c>
      <c r="C187" s="121">
        <v>169005363</v>
      </c>
      <c r="D187" s="122">
        <v>4.0672095017532481E-2</v>
      </c>
    </row>
    <row r="188" spans="1:4" x14ac:dyDescent="0.25">
      <c r="A188" s="119">
        <v>42220</v>
      </c>
      <c r="B188" s="120">
        <v>-3680187.1500000004</v>
      </c>
      <c r="C188" s="121">
        <v>169005363</v>
      </c>
      <c r="D188" s="122">
        <v>2.1775564305613192E-2</v>
      </c>
    </row>
    <row r="189" spans="1:4" x14ac:dyDescent="0.25">
      <c r="A189" s="119">
        <v>42219</v>
      </c>
      <c r="B189" s="120">
        <v>-2399308.3492712476</v>
      </c>
      <c r="C189" s="121">
        <v>169005363</v>
      </c>
      <c r="D189" s="122">
        <v>1.4196640311770743E-2</v>
      </c>
    </row>
    <row r="190" spans="1:4" x14ac:dyDescent="0.25">
      <c r="A190" s="119">
        <v>42216</v>
      </c>
      <c r="B190" s="120">
        <v>-2399196.8664562833</v>
      </c>
      <c r="C190" s="121">
        <v>169781261</v>
      </c>
      <c r="D190" s="122">
        <v>1.4131105236968897E-2</v>
      </c>
    </row>
    <row r="191" spans="1:4" x14ac:dyDescent="0.25">
      <c r="A191" s="119">
        <v>42215</v>
      </c>
      <c r="B191" s="120">
        <v>-4141474.7785214381</v>
      </c>
      <c r="C191" s="121">
        <v>169781261</v>
      </c>
      <c r="D191" s="122">
        <v>2.4393002820973501E-2</v>
      </c>
    </row>
    <row r="192" spans="1:4" x14ac:dyDescent="0.25">
      <c r="A192" s="119">
        <v>42214</v>
      </c>
      <c r="B192" s="120">
        <v>-2480386.0071116588</v>
      </c>
      <c r="C192" s="121">
        <v>169781261</v>
      </c>
      <c r="D192" s="122">
        <v>1.4609303715276675E-2</v>
      </c>
    </row>
    <row r="193" spans="1:4" x14ac:dyDescent="0.25">
      <c r="A193" s="119">
        <v>42213</v>
      </c>
      <c r="B193" s="120">
        <v>-549464.07486908115</v>
      </c>
      <c r="C193" s="121">
        <v>169781261</v>
      </c>
      <c r="D193" s="122">
        <v>3.2363057715131538E-3</v>
      </c>
    </row>
    <row r="194" spans="1:4" x14ac:dyDescent="0.25">
      <c r="A194" s="119">
        <v>42212</v>
      </c>
      <c r="B194" s="120">
        <v>-1305418.6886470127</v>
      </c>
      <c r="C194" s="121">
        <v>169781261</v>
      </c>
      <c r="D194" s="122">
        <v>7.6888266759133845E-3</v>
      </c>
    </row>
    <row r="195" spans="1:4" x14ac:dyDescent="0.25">
      <c r="A195" s="119">
        <v>42209</v>
      </c>
      <c r="B195" s="120">
        <v>-1590626.6633332567</v>
      </c>
      <c r="C195" s="121">
        <v>169781261</v>
      </c>
      <c r="D195" s="122">
        <v>9.3686821146490174E-3</v>
      </c>
    </row>
    <row r="196" spans="1:4" x14ac:dyDescent="0.25">
      <c r="A196" s="119">
        <v>42208</v>
      </c>
      <c r="B196" s="120">
        <v>-1157183.5952832571</v>
      </c>
      <c r="C196" s="121">
        <v>169781261</v>
      </c>
      <c r="D196" s="122">
        <v>6.8157321277243724E-3</v>
      </c>
    </row>
    <row r="197" spans="1:4" x14ac:dyDescent="0.25">
      <c r="A197" s="119">
        <v>42207</v>
      </c>
      <c r="B197" s="120">
        <v>-2427029.2599554094</v>
      </c>
      <c r="C197" s="121">
        <v>169781261</v>
      </c>
      <c r="D197" s="122">
        <v>1.4295036128606733E-2</v>
      </c>
    </row>
    <row r="198" spans="1:4" x14ac:dyDescent="0.25">
      <c r="A198" s="119">
        <v>42206</v>
      </c>
      <c r="B198" s="120">
        <v>-3615623.3516116603</v>
      </c>
      <c r="C198" s="121">
        <v>169781261</v>
      </c>
      <c r="D198" s="122">
        <v>2.1295773928853436E-2</v>
      </c>
    </row>
    <row r="199" spans="1:4" x14ac:dyDescent="0.25">
      <c r="A199" s="119">
        <v>42205</v>
      </c>
      <c r="B199" s="120">
        <v>-1697805.415</v>
      </c>
      <c r="C199" s="121">
        <v>169781261</v>
      </c>
      <c r="D199" s="122">
        <v>9.9999576219427424E-3</v>
      </c>
    </row>
    <row r="200" spans="1:4" x14ac:dyDescent="0.25">
      <c r="A200" s="119">
        <v>42202</v>
      </c>
      <c r="B200" s="120">
        <v>-2613946.0487989224</v>
      </c>
      <c r="C200" s="121">
        <v>169781261</v>
      </c>
      <c r="D200" s="122">
        <v>1.5395963214096534E-2</v>
      </c>
    </row>
    <row r="201" spans="1:4" x14ac:dyDescent="0.25">
      <c r="A201" s="119">
        <v>42201</v>
      </c>
      <c r="B201" s="120">
        <v>-1364894.7000000004</v>
      </c>
      <c r="C201" s="121">
        <v>169781261</v>
      </c>
      <c r="D201" s="122">
        <v>8.0391363096307816E-3</v>
      </c>
    </row>
    <row r="202" spans="1:4" x14ac:dyDescent="0.25">
      <c r="A202" s="119">
        <v>42200</v>
      </c>
      <c r="B202" s="120">
        <v>-1578126.0504999999</v>
      </c>
      <c r="C202" s="121">
        <v>169781261</v>
      </c>
      <c r="D202" s="122">
        <v>9.2950543611523759E-3</v>
      </c>
    </row>
    <row r="203" spans="1:4" x14ac:dyDescent="0.25">
      <c r="A203" s="119">
        <v>42199</v>
      </c>
      <c r="B203" s="120">
        <v>-437054.67999999993</v>
      </c>
      <c r="C203" s="121">
        <v>169781261</v>
      </c>
      <c r="D203" s="122">
        <v>2.5742221339727237E-3</v>
      </c>
    </row>
    <row r="204" spans="1:4" x14ac:dyDescent="0.25">
      <c r="A204" s="119">
        <v>42198</v>
      </c>
      <c r="B204" s="120">
        <v>-1452136.7000000002</v>
      </c>
      <c r="C204" s="121">
        <v>169781261</v>
      </c>
      <c r="D204" s="122">
        <v>8.5529857149547282E-3</v>
      </c>
    </row>
    <row r="205" spans="1:4" x14ac:dyDescent="0.25">
      <c r="A205" s="119">
        <v>42195</v>
      </c>
      <c r="B205" s="120">
        <v>-801277.68999999983</v>
      </c>
      <c r="C205" s="121">
        <v>169781261</v>
      </c>
      <c r="D205" s="122">
        <v>4.7194707194452975E-3</v>
      </c>
    </row>
    <row r="206" spans="1:4" x14ac:dyDescent="0.25">
      <c r="A206" s="119">
        <v>42194</v>
      </c>
      <c r="B206" s="120">
        <v>-4103730.1315000001</v>
      </c>
      <c r="C206" s="121">
        <v>169781261</v>
      </c>
      <c r="D206" s="122">
        <v>2.4170689434919439E-2</v>
      </c>
    </row>
    <row r="207" spans="1:4" x14ac:dyDescent="0.25">
      <c r="A207" s="119">
        <v>42193</v>
      </c>
      <c r="B207" s="120">
        <v>-4134044.1614999999</v>
      </c>
      <c r="C207" s="121">
        <v>169781261</v>
      </c>
      <c r="D207" s="122">
        <v>2.4349236995595172E-2</v>
      </c>
    </row>
    <row r="208" spans="1:4" x14ac:dyDescent="0.25">
      <c r="A208" s="119">
        <v>42192</v>
      </c>
      <c r="B208" s="120">
        <v>-4466093.4509999994</v>
      </c>
      <c r="C208" s="121">
        <v>169781261</v>
      </c>
      <c r="D208" s="122">
        <v>2.6304984570705948E-2</v>
      </c>
    </row>
    <row r="209" spans="1:4" x14ac:dyDescent="0.25">
      <c r="A209" s="119">
        <v>42191</v>
      </c>
      <c r="B209" s="120">
        <v>-600397.51599999983</v>
      </c>
      <c r="C209" s="121">
        <v>169781261</v>
      </c>
      <c r="D209" s="122">
        <v>3.5363002516514458E-3</v>
      </c>
    </row>
    <row r="210" spans="1:4" x14ac:dyDescent="0.25">
      <c r="A210" s="119">
        <v>42187</v>
      </c>
      <c r="B210" s="120">
        <v>-415775.45100000012</v>
      </c>
      <c r="C210" s="121">
        <v>169781261</v>
      </c>
      <c r="D210" s="122">
        <v>2.4488889324482052E-3</v>
      </c>
    </row>
    <row r="211" spans="1:4" x14ac:dyDescent="0.25">
      <c r="A211" s="119">
        <v>42186</v>
      </c>
      <c r="B211" s="120">
        <v>-562415.47220861353</v>
      </c>
      <c r="C211" s="121">
        <v>169781261</v>
      </c>
      <c r="D211" s="122">
        <v>3.3125886148802578E-3</v>
      </c>
    </row>
    <row r="212" spans="1:4" x14ac:dyDescent="0.25">
      <c r="A212" s="119">
        <v>42185</v>
      </c>
      <c r="B212" s="120">
        <v>-513374.28478530649</v>
      </c>
      <c r="C212" s="121">
        <v>169781264</v>
      </c>
      <c r="D212" s="122">
        <v>3.0237393260619527E-3</v>
      </c>
    </row>
    <row r="213" spans="1:4" x14ac:dyDescent="0.25">
      <c r="A213" s="119">
        <v>42184</v>
      </c>
      <c r="B213" s="120">
        <v>-1464498.2540098031</v>
      </c>
      <c r="C213" s="121">
        <v>169781264</v>
      </c>
      <c r="D213" s="122">
        <v>8.6257942690885075E-3</v>
      </c>
    </row>
    <row r="214" spans="1:4" x14ac:dyDescent="0.25">
      <c r="A214" s="119">
        <v>42181</v>
      </c>
      <c r="B214" s="120">
        <v>-2911992.8129696613</v>
      </c>
      <c r="C214" s="121">
        <v>169781264</v>
      </c>
      <c r="D214" s="122">
        <v>1.7151437940582544E-2</v>
      </c>
    </row>
    <row r="215" spans="1:4" x14ac:dyDescent="0.25">
      <c r="A215" s="119">
        <v>42180</v>
      </c>
      <c r="B215" s="120">
        <v>-1513092.6174999999</v>
      </c>
      <c r="C215" s="121">
        <v>169781264</v>
      </c>
      <c r="D215" s="122">
        <v>8.9120117370548018E-3</v>
      </c>
    </row>
    <row r="216" spans="1:4" x14ac:dyDescent="0.25">
      <c r="A216" s="119">
        <v>42179</v>
      </c>
      <c r="B216" s="120">
        <v>-1875013.6455266809</v>
      </c>
      <c r="C216" s="121">
        <v>169781264</v>
      </c>
      <c r="D216" s="122">
        <v>1.1043701768686801E-2</v>
      </c>
    </row>
    <row r="217" spans="1:4" x14ac:dyDescent="0.25">
      <c r="A217" s="119">
        <v>42178</v>
      </c>
      <c r="B217" s="120">
        <v>-1660574.9458702095</v>
      </c>
      <c r="C217" s="121">
        <v>169781264</v>
      </c>
      <c r="D217" s="122">
        <v>9.7806725356350838E-3</v>
      </c>
    </row>
    <row r="218" spans="1:4" x14ac:dyDescent="0.25">
      <c r="A218" s="119">
        <v>42177</v>
      </c>
      <c r="B218" s="120">
        <v>-2627714.1173131345</v>
      </c>
      <c r="C218" s="121">
        <v>169781264</v>
      </c>
      <c r="D218" s="122">
        <v>1.547705592127724E-2</v>
      </c>
    </row>
    <row r="219" spans="1:4" x14ac:dyDescent="0.25">
      <c r="A219" s="119">
        <v>42174</v>
      </c>
      <c r="B219" s="120">
        <v>-2044823.6498738446</v>
      </c>
      <c r="C219" s="121">
        <v>169781264</v>
      </c>
      <c r="D219" s="122">
        <v>1.2043871047360353E-2</v>
      </c>
    </row>
    <row r="220" spans="1:4" x14ac:dyDescent="0.25">
      <c r="A220" s="119">
        <v>42173</v>
      </c>
      <c r="B220" s="120">
        <v>-1322815.7100000011</v>
      </c>
      <c r="C220" s="121">
        <v>169781264</v>
      </c>
      <c r="D220" s="122">
        <v>7.7912938025953274E-3</v>
      </c>
    </row>
    <row r="221" spans="1:4" x14ac:dyDescent="0.25">
      <c r="A221" s="119">
        <v>42172</v>
      </c>
      <c r="B221" s="120">
        <v>-875977.55000000016</v>
      </c>
      <c r="C221" s="121">
        <v>169781264</v>
      </c>
      <c r="D221" s="122">
        <v>5.159447687938053E-3</v>
      </c>
    </row>
    <row r="222" spans="1:4" x14ac:dyDescent="0.25">
      <c r="A222" s="119">
        <v>42171</v>
      </c>
      <c r="B222" s="120">
        <v>-390701.3743395051</v>
      </c>
      <c r="C222" s="121">
        <v>169781264</v>
      </c>
      <c r="D222" s="122">
        <v>2.3012042974276895E-3</v>
      </c>
    </row>
    <row r="223" spans="1:4" x14ac:dyDescent="0.25">
      <c r="A223" s="119">
        <v>42170</v>
      </c>
      <c r="B223" s="120">
        <v>-1112241.0228068926</v>
      </c>
      <c r="C223" s="121">
        <v>169781264</v>
      </c>
      <c r="D223" s="122">
        <v>6.5510233379278684E-3</v>
      </c>
    </row>
    <row r="224" spans="1:4" x14ac:dyDescent="0.25">
      <c r="A224" s="119">
        <v>42167</v>
      </c>
      <c r="B224" s="120">
        <v>-970242.73474153364</v>
      </c>
      <c r="C224" s="121">
        <v>169781264</v>
      </c>
      <c r="D224" s="122">
        <v>5.7146631606037144E-3</v>
      </c>
    </row>
    <row r="225" spans="1:4" x14ac:dyDescent="0.25">
      <c r="A225" s="119">
        <v>42166</v>
      </c>
      <c r="B225" s="120">
        <v>-1826517.2218508888</v>
      </c>
      <c r="C225" s="121">
        <v>169781264</v>
      </c>
      <c r="D225" s="122">
        <v>1.0758061159509854E-2</v>
      </c>
    </row>
    <row r="226" spans="1:4" x14ac:dyDescent="0.25">
      <c r="A226" s="119">
        <v>42165</v>
      </c>
      <c r="B226" s="120">
        <v>-8720431.0283452068</v>
      </c>
      <c r="C226" s="121">
        <v>169781264</v>
      </c>
      <c r="D226" s="122">
        <v>5.1362740639893024E-2</v>
      </c>
    </row>
    <row r="227" spans="1:4" x14ac:dyDescent="0.25">
      <c r="A227" s="119">
        <v>42164</v>
      </c>
      <c r="B227" s="120">
        <v>-5630316.5729803676</v>
      </c>
      <c r="C227" s="121">
        <v>169781264</v>
      </c>
      <c r="D227" s="122">
        <v>3.3162178442612891E-2</v>
      </c>
    </row>
    <row r="228" spans="1:4" x14ac:dyDescent="0.25">
      <c r="A228" s="119">
        <v>42163</v>
      </c>
      <c r="B228" s="120">
        <v>-5454715.554636362</v>
      </c>
      <c r="C228" s="121">
        <v>169781264</v>
      </c>
      <c r="D228" s="122">
        <v>3.2127900488692095E-2</v>
      </c>
    </row>
    <row r="229" spans="1:4" x14ac:dyDescent="0.25">
      <c r="A229" s="119">
        <v>42160</v>
      </c>
      <c r="B229" s="120">
        <v>-6973725.535872722</v>
      </c>
      <c r="C229" s="121">
        <v>169781264</v>
      </c>
      <c r="D229" s="122">
        <v>4.1074765092293825E-2</v>
      </c>
    </row>
    <row r="230" spans="1:4" x14ac:dyDescent="0.25">
      <c r="A230" s="119">
        <v>42159</v>
      </c>
      <c r="B230" s="120">
        <v>-1081885.2748339961</v>
      </c>
      <c r="C230" s="121">
        <v>169781264</v>
      </c>
      <c r="D230" s="122">
        <v>6.3722300644080262E-3</v>
      </c>
    </row>
    <row r="231" spans="1:4" x14ac:dyDescent="0.25">
      <c r="A231" s="119">
        <v>42158</v>
      </c>
      <c r="B231" s="120">
        <v>-1070249.1039171228</v>
      </c>
      <c r="C231" s="121">
        <v>169781264</v>
      </c>
      <c r="D231" s="122">
        <v>6.3036938158095163E-3</v>
      </c>
    </row>
    <row r="232" spans="1:4" x14ac:dyDescent="0.25">
      <c r="A232" s="119">
        <v>42157</v>
      </c>
      <c r="B232" s="120">
        <v>-1099541.2589999994</v>
      </c>
      <c r="C232" s="121">
        <v>169781264</v>
      </c>
      <c r="D232" s="122">
        <v>6.4762226001568663E-3</v>
      </c>
    </row>
    <row r="233" spans="1:4" x14ac:dyDescent="0.25">
      <c r="A233" s="119">
        <v>42156</v>
      </c>
      <c r="B233" s="120">
        <v>-1135545.8526973685</v>
      </c>
      <c r="C233" s="121">
        <v>169781264</v>
      </c>
      <c r="D233" s="122">
        <v>6.688287187550733E-3</v>
      </c>
    </row>
    <row r="234" spans="1:4" x14ac:dyDescent="0.25">
      <c r="A234" s="119">
        <v>42153</v>
      </c>
      <c r="B234" s="120">
        <v>-927730.30661001173</v>
      </c>
      <c r="C234" s="121">
        <v>168527535</v>
      </c>
      <c r="D234" s="122">
        <v>5.5049182711300665E-3</v>
      </c>
    </row>
    <row r="235" spans="1:4" x14ac:dyDescent="0.25">
      <c r="A235" s="119">
        <v>42152</v>
      </c>
      <c r="B235" s="120">
        <v>-947739.51708120853</v>
      </c>
      <c r="C235" s="121">
        <v>168527535</v>
      </c>
      <c r="D235" s="122">
        <v>5.6236478927981027E-3</v>
      </c>
    </row>
    <row r="236" spans="1:4" x14ac:dyDescent="0.25">
      <c r="A236" s="119">
        <v>42151</v>
      </c>
      <c r="B236" s="120">
        <v>-1027660.9303374703</v>
      </c>
      <c r="C236" s="121">
        <v>168527535</v>
      </c>
      <c r="D236" s="122">
        <v>6.0978814550243692E-3</v>
      </c>
    </row>
    <row r="237" spans="1:4" x14ac:dyDescent="0.25">
      <c r="A237" s="119">
        <v>42150</v>
      </c>
      <c r="B237" s="120">
        <v>-1527443.6002088825</v>
      </c>
      <c r="C237" s="121">
        <v>168527535</v>
      </c>
      <c r="D237" s="122">
        <v>9.0634660989308505E-3</v>
      </c>
    </row>
    <row r="238" spans="1:4" x14ac:dyDescent="0.25">
      <c r="A238" s="119">
        <v>42146</v>
      </c>
      <c r="B238" s="120">
        <v>-1693593.69873568</v>
      </c>
      <c r="C238" s="121">
        <v>168527535</v>
      </c>
      <c r="D238" s="122">
        <v>1.0049358988937208E-2</v>
      </c>
    </row>
    <row r="239" spans="1:4" x14ac:dyDescent="0.25">
      <c r="A239" s="119">
        <v>42145</v>
      </c>
      <c r="B239" s="120">
        <v>-2265327.7982925498</v>
      </c>
      <c r="C239" s="121">
        <v>168527535</v>
      </c>
      <c r="D239" s="122">
        <v>1.3441885317390715E-2</v>
      </c>
    </row>
    <row r="240" spans="1:4" x14ac:dyDescent="0.25">
      <c r="A240" s="119">
        <v>42144</v>
      </c>
      <c r="B240" s="120">
        <v>-1622990.9600564928</v>
      </c>
      <c r="C240" s="121">
        <v>168527535</v>
      </c>
      <c r="D240" s="122">
        <v>9.630420097561463E-3</v>
      </c>
    </row>
    <row r="241" spans="1:4" x14ac:dyDescent="0.25">
      <c r="A241" s="119">
        <v>42143</v>
      </c>
      <c r="B241" s="120">
        <v>-2642983.8005574392</v>
      </c>
      <c r="C241" s="121">
        <v>168527535</v>
      </c>
      <c r="D241" s="122">
        <v>1.5682801036385176E-2</v>
      </c>
    </row>
    <row r="242" spans="1:4" x14ac:dyDescent="0.25">
      <c r="A242" s="119">
        <v>42142</v>
      </c>
      <c r="B242" s="120">
        <v>-2405727.0653233659</v>
      </c>
      <c r="C242" s="121">
        <v>168527535</v>
      </c>
      <c r="D242" s="122">
        <v>1.4274979250858714E-2</v>
      </c>
    </row>
    <row r="243" spans="1:4" x14ac:dyDescent="0.25">
      <c r="A243" s="119">
        <v>42139</v>
      </c>
      <c r="B243" s="120">
        <v>-1382044.9950373257</v>
      </c>
      <c r="C243" s="121">
        <v>168527535</v>
      </c>
      <c r="D243" s="122">
        <v>8.2007073505069999E-3</v>
      </c>
    </row>
    <row r="244" spans="1:4" x14ac:dyDescent="0.25">
      <c r="A244" s="119">
        <v>42138</v>
      </c>
      <c r="B244" s="120">
        <v>-1950522.3574118244</v>
      </c>
      <c r="C244" s="121">
        <v>168527535</v>
      </c>
      <c r="D244" s="122">
        <v>1.1573909019744604E-2</v>
      </c>
    </row>
    <row r="245" spans="1:4" x14ac:dyDescent="0.25">
      <c r="A245" s="119">
        <v>42137</v>
      </c>
      <c r="B245" s="120">
        <v>-2677487.6903410619</v>
      </c>
      <c r="C245" s="121">
        <v>168527535</v>
      </c>
      <c r="D245" s="122">
        <v>1.5887538438991954E-2</v>
      </c>
    </row>
    <row r="246" spans="1:4" x14ac:dyDescent="0.25">
      <c r="A246" s="119">
        <v>42136</v>
      </c>
      <c r="B246" s="120">
        <v>-2116608.7296098154</v>
      </c>
      <c r="C246" s="121">
        <v>168527535</v>
      </c>
      <c r="D246" s="122">
        <v>1.2559423773746026E-2</v>
      </c>
    </row>
    <row r="247" spans="1:4" x14ac:dyDescent="0.25">
      <c r="A247" s="119">
        <v>42135</v>
      </c>
      <c r="B247" s="120">
        <v>-871842.22812534031</v>
      </c>
      <c r="C247" s="121">
        <v>168527535</v>
      </c>
      <c r="D247" s="122">
        <v>5.1732924719117279E-3</v>
      </c>
    </row>
    <row r="248" spans="1:4" x14ac:dyDescent="0.25">
      <c r="A248" s="119">
        <v>42132</v>
      </c>
      <c r="B248" s="120">
        <v>-733042.12556796242</v>
      </c>
      <c r="C248" s="121">
        <v>168527535</v>
      </c>
      <c r="D248" s="122">
        <v>4.3496875781631915E-3</v>
      </c>
    </row>
    <row r="249" spans="1:4" x14ac:dyDescent="0.25">
      <c r="A249" s="119">
        <v>42131</v>
      </c>
      <c r="B249" s="120">
        <v>-3858533.1565791345</v>
      </c>
      <c r="C249" s="121">
        <v>168527535</v>
      </c>
      <c r="D249" s="122">
        <v>2.2895565146544953E-2</v>
      </c>
    </row>
    <row r="250" spans="1:4" x14ac:dyDescent="0.25">
      <c r="A250" s="119">
        <v>42130</v>
      </c>
      <c r="B250" s="120">
        <v>-2846020.3706418206</v>
      </c>
      <c r="C250" s="121">
        <v>168527535</v>
      </c>
      <c r="D250" s="122">
        <v>1.6887568969912368E-2</v>
      </c>
    </row>
    <row r="251" spans="1:4" x14ac:dyDescent="0.25">
      <c r="A251" s="119">
        <v>42129</v>
      </c>
      <c r="B251" s="120">
        <v>-1878270.7199649848</v>
      </c>
      <c r="C251" s="121">
        <v>168527535</v>
      </c>
      <c r="D251" s="122">
        <v>1.1145185977858069E-2</v>
      </c>
    </row>
    <row r="252" spans="1:4" x14ac:dyDescent="0.25">
      <c r="A252" s="119">
        <v>42128</v>
      </c>
      <c r="B252" s="120">
        <v>-1967995.4012276926</v>
      </c>
      <c r="C252" s="121">
        <v>168527535</v>
      </c>
      <c r="D252" s="122">
        <v>1.167758966644645E-2</v>
      </c>
    </row>
    <row r="253" spans="1:4" x14ac:dyDescent="0.25">
      <c r="A253" s="119">
        <v>42125</v>
      </c>
      <c r="B253" s="120">
        <v>-249483.99000000081</v>
      </c>
      <c r="C253" s="121">
        <v>168527535</v>
      </c>
      <c r="D253" s="122">
        <v>1.48037523957139E-3</v>
      </c>
    </row>
    <row r="254" spans="1:4" x14ac:dyDescent="0.25">
      <c r="A254" s="119">
        <v>42124</v>
      </c>
      <c r="B254" s="120">
        <v>-1124297.3849585524</v>
      </c>
      <c r="C254" s="120">
        <v>166228046</v>
      </c>
      <c r="D254" s="122">
        <v>6.7635841966075475E-3</v>
      </c>
    </row>
    <row r="255" spans="1:4" x14ac:dyDescent="0.25">
      <c r="A255" s="119">
        <v>42123</v>
      </c>
      <c r="B255" s="120">
        <v>-2131904.0511104832</v>
      </c>
      <c r="C255" s="120">
        <v>166228046</v>
      </c>
      <c r="D255" s="122">
        <v>1.2825176631809071E-2</v>
      </c>
    </row>
    <row r="256" spans="1:4" x14ac:dyDescent="0.25">
      <c r="A256" s="119">
        <v>42122</v>
      </c>
      <c r="B256" s="120">
        <v>-3004537.907605954</v>
      </c>
      <c r="C256" s="120">
        <v>166228046</v>
      </c>
      <c r="D256" s="122">
        <v>1.8074795318269901E-2</v>
      </c>
    </row>
    <row r="257" spans="1:4" x14ac:dyDescent="0.25">
      <c r="A257" s="119">
        <v>42121</v>
      </c>
      <c r="B257" s="120">
        <v>-3570211.6749905697</v>
      </c>
      <c r="C257" s="120">
        <v>166228046</v>
      </c>
      <c r="D257" s="122">
        <v>2.1477793675025031E-2</v>
      </c>
    </row>
    <row r="258" spans="1:4" x14ac:dyDescent="0.25">
      <c r="A258" s="119">
        <v>42118</v>
      </c>
      <c r="B258" s="120">
        <v>-3807047.5788516086</v>
      </c>
      <c r="C258" s="120">
        <v>166228046</v>
      </c>
      <c r="D258" s="122">
        <v>2.2902558686466234E-2</v>
      </c>
    </row>
    <row r="259" spans="1:4" x14ac:dyDescent="0.25">
      <c r="A259" s="119">
        <v>42117</v>
      </c>
      <c r="B259" s="120">
        <v>-4034210.093201261</v>
      </c>
      <c r="C259" s="120">
        <v>166228046</v>
      </c>
      <c r="D259" s="122">
        <v>2.4269130211644677E-2</v>
      </c>
    </row>
    <row r="260" spans="1:4" x14ac:dyDescent="0.25">
      <c r="A260" s="119">
        <v>42116</v>
      </c>
      <c r="B260" s="120">
        <v>-2723005.6595214135</v>
      </c>
      <c r="C260" s="120">
        <v>166228046</v>
      </c>
      <c r="D260" s="122">
        <v>1.6381144608542252E-2</v>
      </c>
    </row>
    <row r="261" spans="1:4" x14ac:dyDescent="0.25">
      <c r="A261" s="119">
        <v>42115</v>
      </c>
      <c r="B261" s="120">
        <v>-3020955.4715430895</v>
      </c>
      <c r="C261" s="120">
        <v>166228046</v>
      </c>
      <c r="D261" s="122">
        <v>1.8173560624920596E-2</v>
      </c>
    </row>
    <row r="262" spans="1:4" x14ac:dyDescent="0.25">
      <c r="A262" s="119">
        <v>42114</v>
      </c>
      <c r="B262" s="120">
        <v>-26043919.573330417</v>
      </c>
      <c r="C262" s="120">
        <v>166228046</v>
      </c>
      <c r="D262" s="122">
        <v>0.156675845021546</v>
      </c>
    </row>
    <row r="263" spans="1:4" x14ac:dyDescent="0.25">
      <c r="A263" s="119">
        <v>42111</v>
      </c>
      <c r="B263" s="120">
        <v>-26384887.845208745</v>
      </c>
      <c r="C263" s="120">
        <v>166228046</v>
      </c>
      <c r="D263" s="122">
        <v>0.15872705286572847</v>
      </c>
    </row>
    <row r="264" spans="1:4" x14ac:dyDescent="0.25">
      <c r="A264" s="119">
        <v>42110</v>
      </c>
      <c r="B264" s="120">
        <v>-26426546.144690253</v>
      </c>
      <c r="C264" s="120">
        <v>166228046</v>
      </c>
      <c r="D264" s="122">
        <v>0.1589776621972098</v>
      </c>
    </row>
    <row r="265" spans="1:4" x14ac:dyDescent="0.25">
      <c r="A265" s="119">
        <v>42109</v>
      </c>
      <c r="B265" s="120">
        <v>-11336362.409925474</v>
      </c>
      <c r="C265" s="120">
        <v>166228046</v>
      </c>
      <c r="D265" s="122">
        <v>6.8197651856687733E-2</v>
      </c>
    </row>
    <row r="266" spans="1:4" x14ac:dyDescent="0.25">
      <c r="A266" s="119">
        <v>42108</v>
      </c>
      <c r="B266" s="120">
        <v>-10240780.670284074</v>
      </c>
      <c r="C266" s="120">
        <v>166228046</v>
      </c>
      <c r="D266" s="122">
        <v>6.1606816158351965E-2</v>
      </c>
    </row>
    <row r="267" spans="1:4" x14ac:dyDescent="0.25">
      <c r="A267" s="119">
        <v>42107</v>
      </c>
      <c r="B267" s="120">
        <v>-8396788.8702922594</v>
      </c>
      <c r="C267" s="120">
        <v>166228046</v>
      </c>
      <c r="D267" s="122">
        <v>5.051367126274383E-2</v>
      </c>
    </row>
    <row r="268" spans="1:4" x14ac:dyDescent="0.25">
      <c r="A268" s="119">
        <v>42104</v>
      </c>
      <c r="B268" s="120">
        <v>-7649531.0945958989</v>
      </c>
      <c r="C268" s="120">
        <v>166228046</v>
      </c>
      <c r="D268" s="122">
        <v>4.6018294016377352E-2</v>
      </c>
    </row>
    <row r="269" spans="1:4" x14ac:dyDescent="0.25">
      <c r="A269" s="119">
        <v>42103</v>
      </c>
      <c r="B269" s="120">
        <v>-2338586.3690441176</v>
      </c>
      <c r="C269" s="120">
        <v>166228046</v>
      </c>
      <c r="D269" s="122">
        <v>1.4068542735827609E-2</v>
      </c>
    </row>
    <row r="270" spans="1:4" x14ac:dyDescent="0.25">
      <c r="A270" s="119">
        <v>42102</v>
      </c>
      <c r="B270" s="120">
        <v>-3548441.9949607076</v>
      </c>
      <c r="C270" s="120">
        <v>166228046</v>
      </c>
      <c r="D270" s="122">
        <v>2.1346830937065263E-2</v>
      </c>
    </row>
    <row r="271" spans="1:4" x14ac:dyDescent="0.25">
      <c r="A271" s="119">
        <v>42101</v>
      </c>
      <c r="B271" s="120">
        <v>-12994281.744090043</v>
      </c>
      <c r="C271" s="120">
        <v>166228046</v>
      </c>
      <c r="D271" s="122">
        <v>7.8171416056289578E-2</v>
      </c>
    </row>
    <row r="272" spans="1:4" x14ac:dyDescent="0.25">
      <c r="A272" s="119">
        <v>42100</v>
      </c>
      <c r="B272" s="120">
        <v>-6229884.8267126158</v>
      </c>
      <c r="C272" s="120">
        <v>166228046</v>
      </c>
      <c r="D272" s="122">
        <v>3.7477940555907252E-2</v>
      </c>
    </row>
    <row r="273" spans="1:4" x14ac:dyDescent="0.25">
      <c r="A273" s="119">
        <v>42096</v>
      </c>
      <c r="B273" s="120">
        <v>-4520145.1617278205</v>
      </c>
      <c r="C273" s="120">
        <v>166228046</v>
      </c>
      <c r="D273" s="122">
        <v>2.7192433951415278E-2</v>
      </c>
    </row>
    <row r="274" spans="1:4" x14ac:dyDescent="0.25">
      <c r="A274" s="119">
        <v>42095</v>
      </c>
      <c r="B274" s="120">
        <v>-1714592.4399999995</v>
      </c>
      <c r="C274" s="120">
        <v>166228046</v>
      </c>
      <c r="D274" s="122">
        <v>1.0314700083763239E-2</v>
      </c>
    </row>
    <row r="275" spans="1:4" x14ac:dyDescent="0.25">
      <c r="A275" s="119">
        <v>42094</v>
      </c>
      <c r="B275" s="120">
        <v>-768153.30000000051</v>
      </c>
      <c r="C275" s="120">
        <v>164983671</v>
      </c>
      <c r="D275" s="122">
        <v>4.6559353137438702E-3</v>
      </c>
    </row>
    <row r="276" spans="1:4" x14ac:dyDescent="0.25">
      <c r="A276" s="119">
        <v>42093</v>
      </c>
      <c r="B276" s="120">
        <v>-1308714.1534999995</v>
      </c>
      <c r="C276" s="120">
        <v>164983671</v>
      </c>
      <c r="D276" s="122">
        <v>7.9323859480614871E-3</v>
      </c>
    </row>
    <row r="277" spans="1:4" x14ac:dyDescent="0.25">
      <c r="A277" s="119">
        <v>42090</v>
      </c>
      <c r="B277" s="120">
        <v>-1643491.0886500003</v>
      </c>
      <c r="C277" s="120">
        <v>164983671</v>
      </c>
      <c r="D277" s="122">
        <v>9.9615378824368644E-3</v>
      </c>
    </row>
    <row r="278" spans="1:4" x14ac:dyDescent="0.25">
      <c r="A278" s="119">
        <v>42089</v>
      </c>
      <c r="B278" s="120">
        <v>-881725.92510309024</v>
      </c>
      <c r="C278" s="120">
        <v>164983671</v>
      </c>
      <c r="D278" s="122">
        <v>5.3443223790498049E-3</v>
      </c>
    </row>
    <row r="279" spans="1:4" x14ac:dyDescent="0.25">
      <c r="A279" s="119">
        <v>42088</v>
      </c>
      <c r="B279" s="120">
        <v>-529157.53999999992</v>
      </c>
      <c r="C279" s="120">
        <v>164983671</v>
      </c>
      <c r="D279" s="122">
        <v>3.207332803256632E-3</v>
      </c>
    </row>
    <row r="280" spans="1:4" x14ac:dyDescent="0.25">
      <c r="A280" s="119">
        <v>42087</v>
      </c>
      <c r="B280" s="120">
        <v>-1966052.8724999996</v>
      </c>
      <c r="C280" s="120">
        <v>164983671</v>
      </c>
      <c r="D280" s="122">
        <v>1.1916651269688378E-2</v>
      </c>
    </row>
    <row r="281" spans="1:4" x14ac:dyDescent="0.25">
      <c r="A281" s="119">
        <v>42086</v>
      </c>
      <c r="B281" s="120">
        <v>-1316937.4773941454</v>
      </c>
      <c r="C281" s="120">
        <v>164983671</v>
      </c>
      <c r="D281" s="122">
        <v>7.9822292073628634E-3</v>
      </c>
    </row>
    <row r="282" spans="1:4" x14ac:dyDescent="0.25">
      <c r="A282" s="119">
        <v>42083</v>
      </c>
      <c r="B282" s="120">
        <v>-1613258.9885920978</v>
      </c>
      <c r="C282" s="120">
        <v>164983671</v>
      </c>
      <c r="D282" s="122">
        <v>9.7782948992091324E-3</v>
      </c>
    </row>
    <row r="283" spans="1:4" x14ac:dyDescent="0.25">
      <c r="A283" s="119">
        <v>42082</v>
      </c>
      <c r="B283" s="120">
        <v>-3960943.4376592492</v>
      </c>
      <c r="C283" s="120">
        <v>164983671</v>
      </c>
      <c r="D283" s="122">
        <v>2.4008093732253353E-2</v>
      </c>
    </row>
    <row r="284" spans="1:4" x14ac:dyDescent="0.25">
      <c r="A284" s="119">
        <v>42081</v>
      </c>
      <c r="B284" s="120">
        <v>-7365777.908789428</v>
      </c>
      <c r="C284" s="120">
        <v>164983671</v>
      </c>
      <c r="D284" s="122">
        <v>4.4645496515769906E-2</v>
      </c>
    </row>
    <row r="285" spans="1:4" x14ac:dyDescent="0.25">
      <c r="A285" s="119">
        <v>42080</v>
      </c>
      <c r="B285" s="120">
        <v>-8247253.1665159501</v>
      </c>
      <c r="C285" s="120">
        <v>164983671</v>
      </c>
      <c r="D285" s="122">
        <v>4.9988299548238017E-2</v>
      </c>
    </row>
    <row r="286" spans="1:4" x14ac:dyDescent="0.25">
      <c r="A286" s="119">
        <v>42079</v>
      </c>
      <c r="B286" s="120">
        <v>-7956269.046508708</v>
      </c>
      <c r="C286" s="120">
        <v>164983671</v>
      </c>
      <c r="D286" s="122">
        <v>4.8224584883365264E-2</v>
      </c>
    </row>
    <row r="287" spans="1:4" x14ac:dyDescent="0.25">
      <c r="A287" s="119">
        <v>42076</v>
      </c>
      <c r="B287" s="120">
        <v>-3399771.442805727</v>
      </c>
      <c r="C287" s="120">
        <v>164983671</v>
      </c>
      <c r="D287" s="122">
        <v>2.0606714726366628E-2</v>
      </c>
    </row>
    <row r="288" spans="1:4" x14ac:dyDescent="0.25">
      <c r="A288" s="119">
        <v>42075</v>
      </c>
      <c r="B288" s="120">
        <v>-11608563.592661057</v>
      </c>
      <c r="C288" s="120">
        <v>164983671</v>
      </c>
      <c r="D288" s="122">
        <v>7.0361894133517344E-2</v>
      </c>
    </row>
    <row r="289" spans="1:4" x14ac:dyDescent="0.25">
      <c r="A289" s="119">
        <v>42074</v>
      </c>
      <c r="B289" s="120">
        <v>-6166535.3283160031</v>
      </c>
      <c r="C289" s="120">
        <v>164983671</v>
      </c>
      <c r="D289" s="122">
        <v>3.7376640311973679E-2</v>
      </c>
    </row>
    <row r="290" spans="1:4" x14ac:dyDescent="0.25">
      <c r="A290" s="119">
        <v>42073</v>
      </c>
      <c r="B290" s="120">
        <v>-3489366.015982897</v>
      </c>
      <c r="C290" s="120">
        <v>164983671</v>
      </c>
      <c r="D290" s="122">
        <v>2.1149765881878679E-2</v>
      </c>
    </row>
    <row r="291" spans="1:4" x14ac:dyDescent="0.25">
      <c r="A291" s="119">
        <v>42072</v>
      </c>
      <c r="B291" s="120">
        <v>-2087561.7455866886</v>
      </c>
      <c r="C291" s="120">
        <v>164983671</v>
      </c>
      <c r="D291" s="122">
        <v>1.2653141568093055E-2</v>
      </c>
    </row>
    <row r="292" spans="1:4" x14ac:dyDescent="0.25">
      <c r="A292" s="119">
        <v>42069</v>
      </c>
      <c r="B292" s="120">
        <v>-3227003.6285464573</v>
      </c>
      <c r="C292" s="120">
        <v>164983671</v>
      </c>
      <c r="D292" s="122">
        <v>1.9559533431320348E-2</v>
      </c>
    </row>
    <row r="293" spans="1:4" x14ac:dyDescent="0.25">
      <c r="A293" s="119">
        <v>42068</v>
      </c>
      <c r="B293" s="120">
        <v>-8599550.1822576281</v>
      </c>
      <c r="C293" s="120">
        <v>164983671</v>
      </c>
      <c r="D293" s="122">
        <v>5.2123644298456832E-2</v>
      </c>
    </row>
    <row r="294" spans="1:4" x14ac:dyDescent="0.25">
      <c r="A294" s="119">
        <v>42067</v>
      </c>
      <c r="B294" s="120">
        <v>-9139603.8975211494</v>
      </c>
      <c r="C294" s="120">
        <v>164983671</v>
      </c>
      <c r="D294" s="122">
        <v>5.539702106350361E-2</v>
      </c>
    </row>
    <row r="295" spans="1:4" x14ac:dyDescent="0.25">
      <c r="A295" s="119">
        <v>42066</v>
      </c>
      <c r="B295" s="120">
        <v>-4291849.526235193</v>
      </c>
      <c r="C295" s="120">
        <v>164983671</v>
      </c>
      <c r="D295" s="122">
        <v>2.6013783668537675E-2</v>
      </c>
    </row>
    <row r="296" spans="1:4" x14ac:dyDescent="0.25">
      <c r="A296" s="119">
        <v>42065</v>
      </c>
      <c r="B296" s="120">
        <v>-1943001.531374875</v>
      </c>
      <c r="C296" s="120">
        <v>164983671</v>
      </c>
      <c r="D296" s="122">
        <v>1.177693234486748E-2</v>
      </c>
    </row>
    <row r="297" spans="1:4" x14ac:dyDescent="0.25">
      <c r="A297" s="119">
        <v>42062</v>
      </c>
      <c r="B297" s="120">
        <v>-5216057.8281724434</v>
      </c>
      <c r="C297" s="120">
        <v>166313527.00999999</v>
      </c>
      <c r="D297" s="122">
        <v>3.1362799658856466E-2</v>
      </c>
    </row>
    <row r="298" spans="1:4" x14ac:dyDescent="0.25">
      <c r="A298" s="119">
        <v>42061</v>
      </c>
      <c r="B298" s="120">
        <v>-5085015.0398042789</v>
      </c>
      <c r="C298" s="120">
        <v>166313527.00999999</v>
      </c>
      <c r="D298" s="122">
        <v>3.0574873440682493E-2</v>
      </c>
    </row>
    <row r="299" spans="1:4" x14ac:dyDescent="0.25">
      <c r="A299" s="119">
        <v>42060</v>
      </c>
      <c r="B299" s="120">
        <v>-3436044.7205017186</v>
      </c>
      <c r="C299" s="120">
        <v>166313527.00999999</v>
      </c>
      <c r="D299" s="122">
        <v>2.0660043607247405E-2</v>
      </c>
    </row>
    <row r="300" spans="1:4" x14ac:dyDescent="0.25">
      <c r="A300" s="119">
        <v>42059</v>
      </c>
      <c r="B300" s="120">
        <v>-3786085.7487000003</v>
      </c>
      <c r="C300" s="120">
        <v>166313527.00999999</v>
      </c>
      <c r="D300" s="122">
        <v>2.2764749306725684E-2</v>
      </c>
    </row>
    <row r="301" spans="1:4" x14ac:dyDescent="0.25">
      <c r="A301" s="119">
        <v>42058</v>
      </c>
      <c r="B301" s="120">
        <v>-21063680.305084836</v>
      </c>
      <c r="C301" s="120">
        <v>166313527.00999999</v>
      </c>
      <c r="D301" s="122">
        <v>0.12665043357428366</v>
      </c>
    </row>
    <row r="302" spans="1:4" x14ac:dyDescent="0.25">
      <c r="A302" s="119">
        <v>42055</v>
      </c>
      <c r="B302" s="120">
        <v>-20447935.283727817</v>
      </c>
      <c r="C302" s="120">
        <v>166313527.00999999</v>
      </c>
      <c r="D302" s="122">
        <v>0.12294811884121931</v>
      </c>
    </row>
    <row r="303" spans="1:4" x14ac:dyDescent="0.25">
      <c r="A303" s="119">
        <v>42054</v>
      </c>
      <c r="B303" s="120">
        <v>-10153649.414047498</v>
      </c>
      <c r="C303" s="120">
        <v>166313527.00999999</v>
      </c>
      <c r="D303" s="122">
        <v>6.1051254197964221E-2</v>
      </c>
    </row>
    <row r="304" spans="1:4" x14ac:dyDescent="0.25">
      <c r="A304" s="119">
        <v>42053</v>
      </c>
      <c r="B304" s="120">
        <v>-6634064.9718949199</v>
      </c>
      <c r="C304" s="120">
        <v>166313527.00999999</v>
      </c>
      <c r="D304" s="122">
        <v>3.9888907962946578E-2</v>
      </c>
    </row>
    <row r="305" spans="1:4" x14ac:dyDescent="0.25">
      <c r="A305" s="119">
        <v>42052</v>
      </c>
      <c r="B305" s="120">
        <v>-6908470.5834101718</v>
      </c>
      <c r="C305" s="120">
        <v>166313527.00999999</v>
      </c>
      <c r="D305" s="122">
        <v>4.1538837565478264E-2</v>
      </c>
    </row>
    <row r="306" spans="1:4" x14ac:dyDescent="0.25">
      <c r="A306" s="119">
        <v>42048</v>
      </c>
      <c r="B306" s="120">
        <v>-4326772.4225060493</v>
      </c>
      <c r="C306" s="120">
        <v>166313527.00999999</v>
      </c>
      <c r="D306" s="122">
        <v>2.6015757709509053E-2</v>
      </c>
    </row>
    <row r="307" spans="1:4" x14ac:dyDescent="0.25">
      <c r="A307" s="119">
        <v>42047</v>
      </c>
      <c r="B307" s="120">
        <v>-7845907.9475000007</v>
      </c>
      <c r="C307" s="120">
        <v>166313527.00999999</v>
      </c>
      <c r="D307" s="122">
        <v>4.7175404722360599E-2</v>
      </c>
    </row>
    <row r="308" spans="1:4" x14ac:dyDescent="0.25">
      <c r="A308" s="119">
        <v>42046</v>
      </c>
      <c r="B308" s="120">
        <v>-6523302.2344246209</v>
      </c>
      <c r="C308" s="120">
        <v>166313527.00999999</v>
      </c>
      <c r="D308" s="122">
        <v>3.9222920418447937E-2</v>
      </c>
    </row>
    <row r="309" spans="1:4" x14ac:dyDescent="0.25">
      <c r="A309" s="119">
        <v>42045</v>
      </c>
      <c r="B309" s="120">
        <v>-2232383.3623937299</v>
      </c>
      <c r="C309" s="120">
        <v>166313527.00999999</v>
      </c>
      <c r="D309" s="122">
        <v>1.3422740786800239E-2</v>
      </c>
    </row>
    <row r="310" spans="1:4" x14ac:dyDescent="0.25">
      <c r="A310" s="119">
        <v>42044</v>
      </c>
      <c r="B310" s="120">
        <v>-3128401.9664000007</v>
      </c>
      <c r="C310" s="120">
        <v>166313527.00999999</v>
      </c>
      <c r="D310" s="122">
        <v>1.8810267707279747E-2</v>
      </c>
    </row>
    <row r="311" spans="1:4" x14ac:dyDescent="0.25">
      <c r="A311" s="119">
        <v>42041</v>
      </c>
      <c r="B311" s="120">
        <v>-1885541.6504865058</v>
      </c>
      <c r="C311" s="120">
        <v>166313527.00999999</v>
      </c>
      <c r="D311" s="122">
        <v>1.1337271744427217E-2</v>
      </c>
    </row>
    <row r="312" spans="1:4" x14ac:dyDescent="0.25">
      <c r="A312" s="119">
        <v>42040</v>
      </c>
      <c r="B312" s="120">
        <v>-5657129.6808653548</v>
      </c>
      <c r="C312" s="120">
        <v>166313527.00999999</v>
      </c>
      <c r="D312" s="122">
        <v>3.4014850039980254E-2</v>
      </c>
    </row>
    <row r="313" spans="1:4" x14ac:dyDescent="0.25">
      <c r="A313" s="119">
        <v>42039</v>
      </c>
      <c r="B313" s="120">
        <v>-9634660.3259641286</v>
      </c>
      <c r="C313" s="120">
        <v>166313527.00999999</v>
      </c>
      <c r="D313" s="122">
        <v>5.793070773722947E-2</v>
      </c>
    </row>
    <row r="314" spans="1:4" x14ac:dyDescent="0.25">
      <c r="A314" s="119">
        <v>42038</v>
      </c>
      <c r="B314" s="120">
        <v>-15091340.867668221</v>
      </c>
      <c r="C314" s="120">
        <v>166313527.00999999</v>
      </c>
      <c r="D314" s="122">
        <v>9.0740309215863235E-2</v>
      </c>
    </row>
    <row r="315" spans="1:4" x14ac:dyDescent="0.25">
      <c r="A315" s="119">
        <v>42037</v>
      </c>
      <c r="B315" s="120">
        <v>-7356158.7667897604</v>
      </c>
      <c r="C315" s="120">
        <v>166313527.00999999</v>
      </c>
      <c r="D315" s="122">
        <v>4.423067022291851E-2</v>
      </c>
    </row>
    <row r="316" spans="1:4" x14ac:dyDescent="0.25">
      <c r="A316" s="119">
        <v>42034</v>
      </c>
      <c r="B316" s="120">
        <v>-6743595.4899288192</v>
      </c>
      <c r="C316" s="120">
        <v>165092832.81999999</v>
      </c>
      <c r="D316" s="122">
        <v>4.0847294063221587E-2</v>
      </c>
    </row>
    <row r="317" spans="1:4" x14ac:dyDescent="0.25">
      <c r="A317" s="119">
        <v>42033</v>
      </c>
      <c r="B317" s="120">
        <v>-4219996.6099910056</v>
      </c>
      <c r="C317" s="120">
        <v>165092832.81999999</v>
      </c>
      <c r="D317" s="122">
        <v>2.5561355619792711E-2</v>
      </c>
    </row>
    <row r="318" spans="1:4" x14ac:dyDescent="0.25">
      <c r="A318" s="119">
        <v>42032</v>
      </c>
      <c r="B318" s="120">
        <v>-5251992.5782248108</v>
      </c>
      <c r="C318" s="120">
        <v>165092832.81999999</v>
      </c>
      <c r="D318" s="122">
        <v>3.1812359679787162E-2</v>
      </c>
    </row>
    <row r="319" spans="1:4" x14ac:dyDescent="0.25">
      <c r="A319" s="119">
        <v>42031</v>
      </c>
      <c r="B319" s="120">
        <v>-6342107.0931066731</v>
      </c>
      <c r="C319" s="120">
        <v>165092832.81999999</v>
      </c>
      <c r="D319" s="122">
        <v>3.8415399292478343E-2</v>
      </c>
    </row>
    <row r="320" spans="1:4" x14ac:dyDescent="0.25">
      <c r="A320" s="119">
        <v>42030</v>
      </c>
      <c r="B320" s="120">
        <v>-16370375.535944831</v>
      </c>
      <c r="C320" s="120">
        <v>165092832.81999999</v>
      </c>
      <c r="D320" s="122">
        <v>9.915860825886598E-2</v>
      </c>
    </row>
    <row r="321" spans="1:4" x14ac:dyDescent="0.25">
      <c r="A321" s="119">
        <v>42027</v>
      </c>
      <c r="B321" s="120">
        <v>-6359177.1057134513</v>
      </c>
      <c r="C321" s="120">
        <v>165092832.81999999</v>
      </c>
      <c r="D321" s="122">
        <v>3.8518795741101827E-2</v>
      </c>
    </row>
    <row r="322" spans="1:4" x14ac:dyDescent="0.25">
      <c r="A322" s="119">
        <v>42026</v>
      </c>
      <c r="B322" s="120">
        <v>-10260226.155240458</v>
      </c>
      <c r="C322" s="120">
        <v>165092832.81999999</v>
      </c>
      <c r="D322" s="122">
        <v>6.2148222790671587E-2</v>
      </c>
    </row>
    <row r="323" spans="1:4" x14ac:dyDescent="0.25">
      <c r="A323" s="119">
        <v>42025</v>
      </c>
      <c r="B323" s="120">
        <v>-7979359.5466628727</v>
      </c>
      <c r="C323" s="120">
        <v>165092832.81999999</v>
      </c>
      <c r="D323" s="122">
        <v>4.8332561810013483E-2</v>
      </c>
    </row>
    <row r="324" spans="1:4" x14ac:dyDescent="0.25">
      <c r="A324" s="119">
        <v>42024</v>
      </c>
      <c r="B324" s="120">
        <v>-6645848.8799999999</v>
      </c>
      <c r="C324" s="120">
        <v>165092832.81999999</v>
      </c>
      <c r="D324" s="122">
        <v>4.0255223479301133E-2</v>
      </c>
    </row>
    <row r="325" spans="1:4" x14ac:dyDescent="0.25">
      <c r="A325" s="119">
        <v>42020</v>
      </c>
      <c r="B325" s="120">
        <v>-4081064.2625000011</v>
      </c>
      <c r="C325" s="120">
        <v>165092832.81999999</v>
      </c>
      <c r="D325" s="122">
        <v>2.4719814862887282E-2</v>
      </c>
    </row>
    <row r="326" spans="1:4" x14ac:dyDescent="0.25">
      <c r="A326" s="119">
        <v>42019</v>
      </c>
      <c r="B326" s="120">
        <v>-4128758.3649000004</v>
      </c>
      <c r="C326" s="120">
        <v>165092832.81999999</v>
      </c>
      <c r="D326" s="122">
        <v>2.5008707491266855E-2</v>
      </c>
    </row>
    <row r="327" spans="1:4" x14ac:dyDescent="0.25">
      <c r="A327" s="119">
        <v>42018</v>
      </c>
      <c r="B327" s="120">
        <v>-2359158.4399999995</v>
      </c>
      <c r="C327" s="120">
        <v>165092832.81999999</v>
      </c>
      <c r="D327" s="122">
        <v>1.4289890116381853E-2</v>
      </c>
    </row>
    <row r="328" spans="1:4" x14ac:dyDescent="0.25">
      <c r="A328" s="119">
        <v>42017</v>
      </c>
      <c r="B328" s="120">
        <v>-1713355.3749999998</v>
      </c>
      <c r="C328" s="120">
        <v>165092832.81999999</v>
      </c>
      <c r="D328" s="122">
        <v>1.0378132991806276E-2</v>
      </c>
    </row>
    <row r="329" spans="1:4" x14ac:dyDescent="0.25">
      <c r="A329" s="119">
        <v>42016</v>
      </c>
      <c r="B329" s="120">
        <v>-1277790.2999999998</v>
      </c>
      <c r="C329" s="120">
        <v>165092832.81999999</v>
      </c>
      <c r="D329" s="122">
        <v>7.7398290293629471E-3</v>
      </c>
    </row>
    <row r="330" spans="1:4" x14ac:dyDescent="0.25">
      <c r="A330" s="119">
        <v>42013</v>
      </c>
      <c r="B330" s="120">
        <v>-1514657.1099999994</v>
      </c>
      <c r="C330" s="120">
        <v>165092832.81999999</v>
      </c>
      <c r="D330" s="122">
        <v>9.1745782304881972E-3</v>
      </c>
    </row>
    <row r="331" spans="1:4" x14ac:dyDescent="0.25">
      <c r="A331" s="119">
        <v>42012</v>
      </c>
      <c r="B331" s="120">
        <v>-1406632.7499999995</v>
      </c>
      <c r="C331" s="120">
        <v>165092832.81999999</v>
      </c>
      <c r="D331" s="122">
        <v>8.5202532779460223E-3</v>
      </c>
    </row>
    <row r="332" spans="1:4" x14ac:dyDescent="0.25">
      <c r="A332" s="119">
        <v>42011</v>
      </c>
      <c r="B332" s="120">
        <v>-1405465.4299999992</v>
      </c>
      <c r="C332" s="120">
        <v>165092832.81999999</v>
      </c>
      <c r="D332" s="122">
        <v>8.5131825894124193E-3</v>
      </c>
    </row>
    <row r="333" spans="1:4" x14ac:dyDescent="0.25">
      <c r="A333" s="119">
        <v>42010</v>
      </c>
      <c r="B333" s="120">
        <v>-2070298.4399999995</v>
      </c>
      <c r="C333" s="120">
        <v>165092832.81999999</v>
      </c>
      <c r="D333" s="122">
        <v>1.2540207861459601E-2</v>
      </c>
    </row>
    <row r="334" spans="1:4" x14ac:dyDescent="0.25">
      <c r="A334" s="119">
        <v>42009</v>
      </c>
      <c r="B334" s="120">
        <v>-2263859.5466951178</v>
      </c>
      <c r="C334" s="120">
        <v>165092832.81999999</v>
      </c>
      <c r="D334" s="122">
        <v>1.3712645837044872E-2</v>
      </c>
    </row>
    <row r="335" spans="1:4" x14ac:dyDescent="0.25">
      <c r="A335" s="119">
        <v>42006</v>
      </c>
      <c r="B335" s="120">
        <v>-1532469.8399999992</v>
      </c>
      <c r="C335" s="120">
        <v>165092832.81999999</v>
      </c>
      <c r="D335" s="122">
        <v>9.2824734655249652E-3</v>
      </c>
    </row>
    <row r="336" spans="1:4" x14ac:dyDescent="0.25">
      <c r="A336" s="119">
        <v>42004</v>
      </c>
      <c r="B336" s="120">
        <v>-2401183.3075000001</v>
      </c>
      <c r="C336" s="123">
        <v>166452289</v>
      </c>
      <c r="D336" s="122">
        <v>1.442565507465025E-2</v>
      </c>
    </row>
    <row r="337" spans="1:4" x14ac:dyDescent="0.25">
      <c r="A337" s="119">
        <v>42003</v>
      </c>
      <c r="B337" s="120">
        <v>-2361014.4502707692</v>
      </c>
      <c r="C337" s="123">
        <v>166452289</v>
      </c>
      <c r="D337" s="122">
        <v>1.4184331524997948E-2</v>
      </c>
    </row>
    <row r="338" spans="1:4" x14ac:dyDescent="0.25">
      <c r="A338" s="119">
        <v>42002</v>
      </c>
      <c r="B338" s="120">
        <v>-2509153.3204306476</v>
      </c>
      <c r="C338" s="123">
        <v>166452289</v>
      </c>
      <c r="D338" s="122">
        <v>1.5074309494359958E-2</v>
      </c>
    </row>
    <row r="339" spans="1:4" x14ac:dyDescent="0.25">
      <c r="A339" s="119">
        <v>41999</v>
      </c>
      <c r="B339" s="120">
        <v>-2627037.0330683491</v>
      </c>
      <c r="C339" s="123">
        <v>166452289</v>
      </c>
      <c r="D339" s="122">
        <v>1.5782522720780061E-2</v>
      </c>
    </row>
    <row r="340" spans="1:4" x14ac:dyDescent="0.25">
      <c r="A340" s="119">
        <v>41997</v>
      </c>
      <c r="B340" s="120">
        <v>-1857080.0575000006</v>
      </c>
      <c r="C340" s="123">
        <v>166452289</v>
      </c>
      <c r="D340" s="122">
        <v>1.1156830997379678E-2</v>
      </c>
    </row>
    <row r="341" spans="1:4" x14ac:dyDescent="0.25">
      <c r="A341" s="119">
        <v>41996</v>
      </c>
      <c r="B341" s="120">
        <v>-1451308.2202793348</v>
      </c>
      <c r="C341" s="123">
        <v>166452289</v>
      </c>
      <c r="D341" s="122">
        <v>8.719064357711144E-3</v>
      </c>
    </row>
    <row r="342" spans="1:4" x14ac:dyDescent="0.25">
      <c r="A342" s="119">
        <v>41995</v>
      </c>
      <c r="B342" s="120">
        <v>-1422363.2918949358</v>
      </c>
      <c r="C342" s="123">
        <v>166452289</v>
      </c>
      <c r="D342" s="122">
        <v>8.5451711144382981E-3</v>
      </c>
    </row>
    <row r="343" spans="1:4" x14ac:dyDescent="0.25">
      <c r="A343" s="119">
        <v>41992</v>
      </c>
      <c r="B343" s="120">
        <v>-2027871.5539644291</v>
      </c>
      <c r="C343" s="123">
        <v>166452289</v>
      </c>
      <c r="D343" s="122">
        <v>1.2182899773546696E-2</v>
      </c>
    </row>
    <row r="344" spans="1:4" x14ac:dyDescent="0.25">
      <c r="A344" s="119">
        <v>41991</v>
      </c>
      <c r="B344" s="120">
        <v>-2778328.4309306499</v>
      </c>
      <c r="C344" s="123">
        <v>166452289</v>
      </c>
      <c r="D344" s="122">
        <v>1.6691440217626866E-2</v>
      </c>
    </row>
    <row r="345" spans="1:4" x14ac:dyDescent="0.25">
      <c r="A345" s="119">
        <v>41990</v>
      </c>
      <c r="B345" s="120">
        <v>-18283014.49328927</v>
      </c>
      <c r="C345" s="123">
        <v>166452289</v>
      </c>
      <c r="D345" s="122">
        <v>0.10983936960632167</v>
      </c>
    </row>
    <row r="346" spans="1:4" x14ac:dyDescent="0.25">
      <c r="A346" s="119">
        <v>41989</v>
      </c>
      <c r="B346" s="120">
        <v>-3968161.0664714635</v>
      </c>
      <c r="C346" s="123">
        <v>166452289</v>
      </c>
      <c r="D346" s="122">
        <v>2.3839630504999924E-2</v>
      </c>
    </row>
    <row r="347" spans="1:4" x14ac:dyDescent="0.25">
      <c r="A347" s="119">
        <v>41988</v>
      </c>
      <c r="B347" s="120">
        <v>-4292668.3374455487</v>
      </c>
      <c r="C347" s="123">
        <v>166452289</v>
      </c>
      <c r="D347" s="122">
        <v>2.5789181772354893E-2</v>
      </c>
    </row>
    <row r="348" spans="1:4" x14ac:dyDescent="0.25">
      <c r="A348" s="119">
        <v>41985</v>
      </c>
      <c r="B348" s="120">
        <v>-6728065.132950142</v>
      </c>
      <c r="C348" s="123">
        <v>166452289</v>
      </c>
      <c r="D348" s="122">
        <v>4.0420382160981531E-2</v>
      </c>
    </row>
    <row r="349" spans="1:4" x14ac:dyDescent="0.25">
      <c r="A349" s="119">
        <v>41984</v>
      </c>
      <c r="B349" s="120">
        <v>-9510080.7156938799</v>
      </c>
      <c r="C349" s="123">
        <v>166452289</v>
      </c>
      <c r="D349" s="122">
        <v>5.7133973782084069E-2</v>
      </c>
    </row>
    <row r="350" spans="1:4" x14ac:dyDescent="0.25">
      <c r="A350" s="119">
        <v>41983</v>
      </c>
      <c r="B350" s="120">
        <v>-7936989.3660122864</v>
      </c>
      <c r="C350" s="123">
        <v>166452289</v>
      </c>
      <c r="D350" s="122">
        <v>4.7683269564483349E-2</v>
      </c>
    </row>
    <row r="351" spans="1:4" x14ac:dyDescent="0.25">
      <c r="A351" s="119">
        <v>41982</v>
      </c>
      <c r="B351" s="120">
        <v>-8204416.1850501709</v>
      </c>
      <c r="C351" s="123">
        <v>166452289</v>
      </c>
      <c r="D351" s="122">
        <v>4.9289897028992918E-2</v>
      </c>
    </row>
    <row r="352" spans="1:4" x14ac:dyDescent="0.25">
      <c r="A352" s="119">
        <v>41981</v>
      </c>
      <c r="B352" s="120">
        <v>-6650645.8923881659</v>
      </c>
      <c r="C352" s="123">
        <v>166452289</v>
      </c>
      <c r="D352" s="122">
        <v>3.9955268457666962E-2</v>
      </c>
    </row>
    <row r="353" spans="1:4" x14ac:dyDescent="0.25">
      <c r="A353" s="119">
        <v>41978</v>
      </c>
      <c r="B353" s="120">
        <v>-6752357.6712425901</v>
      </c>
      <c r="C353" s="123">
        <v>166452289</v>
      </c>
      <c r="D353" s="122">
        <v>4.0566325112192297E-2</v>
      </c>
    </row>
    <row r="354" spans="1:4" x14ac:dyDescent="0.25">
      <c r="A354" s="119">
        <v>41977</v>
      </c>
      <c r="B354" s="120">
        <v>-6734747.6245200587</v>
      </c>
      <c r="C354" s="123">
        <v>166452289</v>
      </c>
      <c r="D354" s="122">
        <v>4.0460528749592974E-2</v>
      </c>
    </row>
    <row r="355" spans="1:4" x14ac:dyDescent="0.25">
      <c r="A355" s="119">
        <v>41976</v>
      </c>
      <c r="B355" s="120">
        <v>-7409078.8153908532</v>
      </c>
      <c r="C355" s="123">
        <v>166452289</v>
      </c>
      <c r="D355" s="122">
        <v>4.4511726813146156E-2</v>
      </c>
    </row>
    <row r="356" spans="1:4" x14ac:dyDescent="0.25">
      <c r="A356" s="119">
        <v>41975</v>
      </c>
      <c r="B356" s="120">
        <v>-7155274.7311213575</v>
      </c>
      <c r="C356" s="123">
        <v>166452289</v>
      </c>
      <c r="D356" s="122">
        <v>4.2986941027415716E-2</v>
      </c>
    </row>
    <row r="357" spans="1:4" x14ac:dyDescent="0.25">
      <c r="A357" s="119">
        <v>41974</v>
      </c>
      <c r="B357" s="120">
        <v>-5703076.2829996254</v>
      </c>
      <c r="C357" s="123">
        <v>166452289</v>
      </c>
      <c r="D357" s="122">
        <v>3.4262528423382781E-2</v>
      </c>
    </row>
    <row r="358" spans="1:4" x14ac:dyDescent="0.25">
      <c r="A358" s="119">
        <v>41971</v>
      </c>
      <c r="B358" s="120">
        <v>-5279286.2976244865</v>
      </c>
      <c r="C358" s="123">
        <v>167165273</v>
      </c>
      <c r="D358" s="122">
        <v>3.1581238153599561E-2</v>
      </c>
    </row>
    <row r="359" spans="1:4" x14ac:dyDescent="0.25">
      <c r="A359" s="119">
        <v>41969</v>
      </c>
      <c r="B359" s="120">
        <v>-3978765.413894983</v>
      </c>
      <c r="C359" s="123">
        <v>167165273</v>
      </c>
      <c r="D359" s="122">
        <v>2.380138734852533E-2</v>
      </c>
    </row>
    <row r="360" spans="1:4" x14ac:dyDescent="0.25">
      <c r="A360" s="119">
        <v>41968</v>
      </c>
      <c r="B360" s="120">
        <v>-4615049.4114878261</v>
      </c>
      <c r="C360" s="123">
        <v>167165273</v>
      </c>
      <c r="D360" s="122">
        <v>2.7607704211913834E-2</v>
      </c>
    </row>
    <row r="361" spans="1:4" x14ac:dyDescent="0.25">
      <c r="A361" s="119">
        <v>41967</v>
      </c>
      <c r="B361" s="120">
        <v>-4506733.7079004608</v>
      </c>
      <c r="C361" s="123">
        <v>167165273</v>
      </c>
      <c r="D361" s="122">
        <v>2.6959748439500712E-2</v>
      </c>
    </row>
    <row r="362" spans="1:4" x14ac:dyDescent="0.25">
      <c r="A362" s="119">
        <v>41964</v>
      </c>
      <c r="B362" s="120">
        <v>-2610518.253877237</v>
      </c>
      <c r="C362" s="123">
        <v>167165273</v>
      </c>
      <c r="D362" s="122">
        <v>1.5616390934720257E-2</v>
      </c>
    </row>
    <row r="363" spans="1:4" x14ac:dyDescent="0.25">
      <c r="A363" s="119">
        <v>41963</v>
      </c>
      <c r="B363" s="120">
        <v>-1956682.9395068241</v>
      </c>
      <c r="C363" s="123">
        <v>167165273</v>
      </c>
      <c r="D363" s="122">
        <v>1.1705080274099897E-2</v>
      </c>
    </row>
    <row r="364" spans="1:4" x14ac:dyDescent="0.25">
      <c r="A364" s="119">
        <v>41962</v>
      </c>
      <c r="B364" s="120">
        <v>-1800744.6981733495</v>
      </c>
      <c r="C364" s="123">
        <v>167165273</v>
      </c>
      <c r="D364" s="122">
        <v>1.0772241541898176E-2</v>
      </c>
    </row>
    <row r="365" spans="1:4" x14ac:dyDescent="0.25">
      <c r="A365" s="119">
        <v>41961</v>
      </c>
      <c r="B365" s="120">
        <v>-639282.46</v>
      </c>
      <c r="C365" s="123">
        <v>167165273</v>
      </c>
      <c r="D365" s="122">
        <v>3.8242539764823044E-3</v>
      </c>
    </row>
    <row r="366" spans="1:4" x14ac:dyDescent="0.25">
      <c r="A366" s="119">
        <v>41960</v>
      </c>
      <c r="B366" s="120">
        <v>-2336426.5374999996</v>
      </c>
      <c r="C366" s="123">
        <v>167165273</v>
      </c>
      <c r="D366" s="122">
        <v>1.397674586096599E-2</v>
      </c>
    </row>
    <row r="367" spans="1:4" x14ac:dyDescent="0.25">
      <c r="A367" s="119">
        <v>41957</v>
      </c>
      <c r="B367" s="120">
        <v>-1265403.3674999992</v>
      </c>
      <c r="C367" s="123">
        <v>167165273</v>
      </c>
      <c r="D367" s="122">
        <v>7.5697741809089697E-3</v>
      </c>
    </row>
    <row r="368" spans="1:4" x14ac:dyDescent="0.25">
      <c r="A368" s="119">
        <v>41956</v>
      </c>
      <c r="B368" s="120">
        <v>-3506187.1877504075</v>
      </c>
      <c r="C368" s="123">
        <v>167165273</v>
      </c>
      <c r="D368" s="122">
        <v>2.0974375388065243E-2</v>
      </c>
    </row>
    <row r="369" spans="1:4" x14ac:dyDescent="0.25">
      <c r="A369" s="119">
        <v>41955</v>
      </c>
      <c r="B369" s="120">
        <v>-5641509.1489419965</v>
      </c>
      <c r="C369" s="123">
        <v>167165273</v>
      </c>
      <c r="D369" s="122">
        <v>3.3748092816753852E-2</v>
      </c>
    </row>
    <row r="370" spans="1:4" x14ac:dyDescent="0.25">
      <c r="A370" s="119">
        <v>41954</v>
      </c>
      <c r="B370" s="120">
        <v>-13243917.549896751</v>
      </c>
      <c r="C370" s="123">
        <v>167165273</v>
      </c>
      <c r="D370" s="122">
        <v>7.9226488326297001E-2</v>
      </c>
    </row>
    <row r="371" spans="1:4" x14ac:dyDescent="0.25">
      <c r="A371" s="119">
        <v>41953</v>
      </c>
      <c r="B371" s="120">
        <v>-4902897.1084199613</v>
      </c>
      <c r="C371" s="123">
        <v>167165273</v>
      </c>
      <c r="D371" s="122">
        <v>2.9329638987996995E-2</v>
      </c>
    </row>
    <row r="372" spans="1:4" x14ac:dyDescent="0.25">
      <c r="A372" s="119">
        <v>41950</v>
      </c>
      <c r="B372" s="120">
        <v>-3046740.8173846207</v>
      </c>
      <c r="C372" s="123">
        <v>167165273</v>
      </c>
      <c r="D372" s="122">
        <v>1.8225919550794625E-2</v>
      </c>
    </row>
    <row r="373" spans="1:4" x14ac:dyDescent="0.25">
      <c r="A373" s="119">
        <v>41949</v>
      </c>
      <c r="B373" s="120">
        <v>-3085266.3032292137</v>
      </c>
      <c r="C373" s="123">
        <v>167165273</v>
      </c>
      <c r="D373" s="122">
        <v>1.8456383002642025E-2</v>
      </c>
    </row>
    <row r="374" spans="1:4" x14ac:dyDescent="0.25">
      <c r="A374" s="119">
        <v>41948</v>
      </c>
      <c r="B374" s="120">
        <v>-4210343.7501587439</v>
      </c>
      <c r="C374" s="123">
        <v>167165273</v>
      </c>
      <c r="D374" s="122">
        <v>2.5186712973326367E-2</v>
      </c>
    </row>
    <row r="375" spans="1:4" x14ac:dyDescent="0.25">
      <c r="A375" s="119">
        <v>41947</v>
      </c>
      <c r="B375" s="120">
        <v>-2989070.2750135614</v>
      </c>
      <c r="C375" s="123">
        <v>167165273</v>
      </c>
      <c r="D375" s="122">
        <v>1.7880928385248778E-2</v>
      </c>
    </row>
    <row r="376" spans="1:4" x14ac:dyDescent="0.25">
      <c r="A376" s="119">
        <v>41946</v>
      </c>
      <c r="B376" s="120">
        <v>-4292005.5019853963</v>
      </c>
      <c r="C376" s="123">
        <v>167165273</v>
      </c>
      <c r="D376" s="122">
        <v>2.5675222041993115E-2</v>
      </c>
    </row>
    <row r="377" spans="1:4" x14ac:dyDescent="0.25">
      <c r="A377" s="119">
        <v>41943</v>
      </c>
      <c r="B377" s="120">
        <v>-559979.02761002234</v>
      </c>
      <c r="C377" s="123">
        <v>163049986</v>
      </c>
      <c r="D377" s="122">
        <v>3.4344009548705041E-3</v>
      </c>
    </row>
    <row r="378" spans="1:4" x14ac:dyDescent="0.25">
      <c r="A378" s="119">
        <v>41942</v>
      </c>
      <c r="B378" s="120">
        <v>-1718468.8282913871</v>
      </c>
      <c r="C378" s="123">
        <v>163049986</v>
      </c>
      <c r="D378" s="122">
        <v>1.0539521470988578E-2</v>
      </c>
    </row>
    <row r="379" spans="1:4" x14ac:dyDescent="0.25">
      <c r="A379" s="119">
        <v>41941</v>
      </c>
      <c r="B379" s="120">
        <v>-504841.60995020776</v>
      </c>
      <c r="C379" s="123">
        <v>163049986</v>
      </c>
      <c r="D379" s="122">
        <v>3.0962382906933078E-3</v>
      </c>
    </row>
    <row r="380" spans="1:4" x14ac:dyDescent="0.25">
      <c r="A380" s="119">
        <v>41940</v>
      </c>
      <c r="B380" s="120">
        <v>-552426.68499999982</v>
      </c>
      <c r="C380" s="123">
        <v>163049986</v>
      </c>
      <c r="D380" s="122">
        <v>3.3880817689858609E-3</v>
      </c>
    </row>
    <row r="381" spans="1:4" x14ac:dyDescent="0.25">
      <c r="A381" s="119">
        <v>41939</v>
      </c>
      <c r="B381" s="120">
        <v>-1122549.0949523104</v>
      </c>
      <c r="C381" s="123">
        <v>163049986</v>
      </c>
      <c r="D381" s="122">
        <v>6.8846929858203754E-3</v>
      </c>
    </row>
    <row r="382" spans="1:4" x14ac:dyDescent="0.25">
      <c r="A382" s="119">
        <v>41936</v>
      </c>
      <c r="B382" s="120">
        <v>-6889394.7673512315</v>
      </c>
      <c r="C382" s="123">
        <v>163049986</v>
      </c>
      <c r="D382" s="122">
        <v>4.2253268070512016E-2</v>
      </c>
    </row>
    <row r="383" spans="1:4" x14ac:dyDescent="0.25">
      <c r="A383" s="119">
        <v>41935</v>
      </c>
      <c r="B383" s="120">
        <v>-7230276.1632000003</v>
      </c>
      <c r="C383" s="123">
        <v>163049986</v>
      </c>
      <c r="D383" s="122">
        <v>4.4343923851670866E-2</v>
      </c>
    </row>
    <row r="384" spans="1:4" x14ac:dyDescent="0.25">
      <c r="A384" s="119">
        <v>41934</v>
      </c>
      <c r="B384" s="120">
        <v>-8616397.1300000008</v>
      </c>
      <c r="C384" s="123">
        <v>163049986</v>
      </c>
      <c r="D384" s="122">
        <v>5.2845126463242999E-2</v>
      </c>
    </row>
    <row r="385" spans="1:4" x14ac:dyDescent="0.25">
      <c r="A385" s="119">
        <v>41933</v>
      </c>
      <c r="B385" s="120">
        <v>-7263112.0339182029</v>
      </c>
      <c r="C385" s="123">
        <v>163049986</v>
      </c>
      <c r="D385" s="122">
        <v>4.4545309153956034E-2</v>
      </c>
    </row>
    <row r="386" spans="1:4" x14ac:dyDescent="0.25">
      <c r="A386" s="119">
        <v>41932</v>
      </c>
      <c r="B386" s="120">
        <v>-10025355.894392824</v>
      </c>
      <c r="C386" s="123">
        <v>163049986</v>
      </c>
      <c r="D386" s="122">
        <v>6.1486395309428753E-2</v>
      </c>
    </row>
    <row r="387" spans="1:4" x14ac:dyDescent="0.25">
      <c r="A387" s="119">
        <v>41929</v>
      </c>
      <c r="B387" s="120">
        <v>-9645181.3405862879</v>
      </c>
      <c r="C387" s="123">
        <v>163049986</v>
      </c>
      <c r="D387" s="122">
        <v>5.9154751111639398E-2</v>
      </c>
    </row>
    <row r="388" spans="1:4" x14ac:dyDescent="0.25">
      <c r="A388" s="119">
        <v>41928</v>
      </c>
      <c r="B388" s="120">
        <v>-9405176.5166396536</v>
      </c>
      <c r="C388" s="123">
        <v>163049986</v>
      </c>
      <c r="D388" s="122">
        <v>5.7682780277206851E-2</v>
      </c>
    </row>
    <row r="389" spans="1:4" x14ac:dyDescent="0.25">
      <c r="A389" s="119">
        <v>41927</v>
      </c>
      <c r="B389" s="120">
        <v>-9217780.7123957537</v>
      </c>
      <c r="C389" s="123">
        <v>163049986</v>
      </c>
      <c r="D389" s="122">
        <v>5.6533465218425435E-2</v>
      </c>
    </row>
    <row r="390" spans="1:4" x14ac:dyDescent="0.25">
      <c r="A390" s="119">
        <v>41926</v>
      </c>
      <c r="B390" s="120">
        <v>-8484804.3899999987</v>
      </c>
      <c r="C390" s="123">
        <v>163049986</v>
      </c>
      <c r="D390" s="122">
        <v>5.2038056538072926E-2</v>
      </c>
    </row>
    <row r="391" spans="1:4" x14ac:dyDescent="0.25">
      <c r="A391" s="119">
        <v>41925</v>
      </c>
      <c r="B391" s="120">
        <v>-8459833.1199999992</v>
      </c>
      <c r="C391" s="123">
        <v>163049986</v>
      </c>
      <c r="D391" s="122">
        <v>5.1884905528296082E-2</v>
      </c>
    </row>
    <row r="392" spans="1:4" x14ac:dyDescent="0.25">
      <c r="A392" s="119">
        <v>41922</v>
      </c>
      <c r="B392" s="120">
        <v>-8422286.7400000002</v>
      </c>
      <c r="C392" s="123">
        <v>163049986</v>
      </c>
      <c r="D392" s="122">
        <v>5.1654630255534031E-2</v>
      </c>
    </row>
    <row r="393" spans="1:4" x14ac:dyDescent="0.25">
      <c r="A393" s="119">
        <v>41921</v>
      </c>
      <c r="B393" s="120">
        <v>-7707226.2300000004</v>
      </c>
      <c r="C393" s="123">
        <v>163049986</v>
      </c>
      <c r="D393" s="122">
        <v>4.7269100838806574E-2</v>
      </c>
    </row>
    <row r="394" spans="1:4" x14ac:dyDescent="0.25">
      <c r="A394" s="119">
        <v>41920</v>
      </c>
      <c r="B394" s="120">
        <v>-6584419.1000000006</v>
      </c>
      <c r="C394" s="123">
        <v>163049986</v>
      </c>
      <c r="D394" s="122">
        <v>4.038282530119322E-2</v>
      </c>
    </row>
    <row r="395" spans="1:4" x14ac:dyDescent="0.25">
      <c r="A395" s="119">
        <v>41919</v>
      </c>
      <c r="B395" s="120">
        <v>-6580589.29</v>
      </c>
      <c r="C395" s="123">
        <v>163049986</v>
      </c>
      <c r="D395" s="122">
        <v>4.0359336737385551E-2</v>
      </c>
    </row>
    <row r="396" spans="1:4" x14ac:dyDescent="0.25">
      <c r="A396" s="119">
        <v>41918</v>
      </c>
      <c r="B396" s="120">
        <v>-6618905.8227670342</v>
      </c>
      <c r="C396" s="123">
        <v>163049986</v>
      </c>
      <c r="D396" s="122">
        <v>4.0594335425254403E-2</v>
      </c>
    </row>
    <row r="397" spans="1:4" x14ac:dyDescent="0.25">
      <c r="A397" s="119">
        <v>41915</v>
      </c>
      <c r="B397" s="120">
        <v>-6546351.5799999991</v>
      </c>
      <c r="C397" s="123">
        <v>163049986</v>
      </c>
      <c r="D397" s="122">
        <v>4.014935383067128E-2</v>
      </c>
    </row>
    <row r="398" spans="1:4" x14ac:dyDescent="0.25">
      <c r="A398" s="119">
        <v>41914</v>
      </c>
      <c r="B398" s="120">
        <v>-6545841.7700000005</v>
      </c>
      <c r="C398" s="123">
        <v>163049986</v>
      </c>
      <c r="D398" s="122">
        <v>4.014622712080454E-2</v>
      </c>
    </row>
    <row r="399" spans="1:4" x14ac:dyDescent="0.25">
      <c r="A399" s="119">
        <v>41913</v>
      </c>
      <c r="B399" s="120">
        <v>-6588882.7399168406</v>
      </c>
      <c r="C399" s="123">
        <v>163049986</v>
      </c>
      <c r="D399" s="122">
        <v>4.04102011999979E-2</v>
      </c>
    </row>
    <row r="400" spans="1:4" x14ac:dyDescent="0.25">
      <c r="A400" s="119">
        <v>41912</v>
      </c>
      <c r="B400" s="120">
        <v>-17395062.898454487</v>
      </c>
      <c r="C400" s="123">
        <v>165799247</v>
      </c>
      <c r="D400" s="122">
        <v>0.10491641677030347</v>
      </c>
    </row>
    <row r="401" spans="1:4" x14ac:dyDescent="0.25">
      <c r="A401" s="119">
        <v>41911</v>
      </c>
      <c r="B401" s="120">
        <v>-3421146.2800000003</v>
      </c>
      <c r="C401" s="123">
        <v>165799247</v>
      </c>
      <c r="D401" s="122">
        <v>2.0634269104973679E-2</v>
      </c>
    </row>
    <row r="402" spans="1:4" x14ac:dyDescent="0.25">
      <c r="A402" s="119">
        <v>41908</v>
      </c>
      <c r="B402" s="120">
        <v>-3423365.0500000003</v>
      </c>
      <c r="C402" s="123">
        <v>165799247</v>
      </c>
      <c r="D402" s="122">
        <v>2.06476513732297E-2</v>
      </c>
    </row>
    <row r="403" spans="1:4" x14ac:dyDescent="0.25">
      <c r="A403" s="119">
        <v>41907</v>
      </c>
      <c r="B403" s="120">
        <v>-270923.62000000017</v>
      </c>
      <c r="C403" s="123">
        <v>165799247</v>
      </c>
      <c r="D403" s="122">
        <v>1.6340461425617945E-3</v>
      </c>
    </row>
    <row r="404" spans="1:4" x14ac:dyDescent="0.25">
      <c r="A404" s="119">
        <v>41906</v>
      </c>
      <c r="B404" s="120">
        <v>-260996.52000000014</v>
      </c>
      <c r="C404" s="123">
        <v>165799247</v>
      </c>
      <c r="D404" s="122">
        <v>1.5741719261246111E-3</v>
      </c>
    </row>
    <row r="405" spans="1:4" x14ac:dyDescent="0.25">
      <c r="A405" s="119">
        <v>41905</v>
      </c>
      <c r="B405" s="120">
        <v>-313692.4200000001</v>
      </c>
      <c r="C405" s="123">
        <v>165799247</v>
      </c>
      <c r="D405" s="122">
        <v>1.8920014757364979E-3</v>
      </c>
    </row>
    <row r="406" spans="1:4" x14ac:dyDescent="0.25">
      <c r="A406" s="119">
        <v>41904</v>
      </c>
      <c r="B406" s="120">
        <v>-397763.80999999971</v>
      </c>
      <c r="C406" s="123">
        <v>165799247</v>
      </c>
      <c r="D406" s="122">
        <v>2.3990688570497531E-3</v>
      </c>
    </row>
    <row r="407" spans="1:4" x14ac:dyDescent="0.25">
      <c r="A407" s="119">
        <v>41901</v>
      </c>
      <c r="B407" s="120">
        <v>-406030.57999999996</v>
      </c>
      <c r="C407" s="123">
        <v>165799247</v>
      </c>
      <c r="D407" s="122">
        <v>2.4489289749307485E-3</v>
      </c>
    </row>
    <row r="408" spans="1:4" x14ac:dyDescent="0.25">
      <c r="A408" s="119">
        <v>41900</v>
      </c>
      <c r="B408" s="120">
        <v>-557106.04</v>
      </c>
      <c r="C408" s="123">
        <v>165799247</v>
      </c>
      <c r="D408" s="122">
        <v>3.3601240661846918E-3</v>
      </c>
    </row>
    <row r="409" spans="1:4" x14ac:dyDescent="0.25">
      <c r="A409" s="119">
        <v>41899</v>
      </c>
      <c r="B409" s="120">
        <v>-728485.26685271389</v>
      </c>
      <c r="C409" s="123">
        <v>165799247</v>
      </c>
      <c r="D409" s="122">
        <v>4.3937791035487265E-3</v>
      </c>
    </row>
    <row r="410" spans="1:4" x14ac:dyDescent="0.25">
      <c r="A410" s="119">
        <v>41898</v>
      </c>
      <c r="B410" s="120">
        <v>-318237.66000000015</v>
      </c>
      <c r="C410" s="123">
        <v>165799247</v>
      </c>
      <c r="D410" s="122">
        <v>1.919415593003267E-3</v>
      </c>
    </row>
    <row r="411" spans="1:4" x14ac:dyDescent="0.25">
      <c r="A411" s="119">
        <v>41897</v>
      </c>
      <c r="B411" s="120">
        <v>-146675.60999999996</v>
      </c>
      <c r="C411" s="123">
        <v>165799247</v>
      </c>
      <c r="D411" s="122">
        <v>8.8465787784910727E-4</v>
      </c>
    </row>
    <row r="412" spans="1:4" x14ac:dyDescent="0.25">
      <c r="A412" s="119">
        <v>41894</v>
      </c>
      <c r="B412" s="120">
        <v>-149900.22999999995</v>
      </c>
      <c r="C412" s="123">
        <v>165799247</v>
      </c>
      <c r="D412" s="122">
        <v>9.0410682021975616E-4</v>
      </c>
    </row>
    <row r="413" spans="1:4" x14ac:dyDescent="0.25">
      <c r="A413" s="119">
        <v>41893</v>
      </c>
      <c r="B413" s="120">
        <v>-157529.52999999994</v>
      </c>
      <c r="C413" s="123">
        <v>165799247</v>
      </c>
      <c r="D413" s="122">
        <v>9.5012210761126036E-4</v>
      </c>
    </row>
    <row r="414" spans="1:4" x14ac:dyDescent="0.25">
      <c r="A414" s="119">
        <v>41892</v>
      </c>
      <c r="B414" s="120">
        <v>-485182.43999999959</v>
      </c>
      <c r="C414" s="123">
        <v>165799247</v>
      </c>
      <c r="D414" s="122">
        <v>2.9263247498343562E-3</v>
      </c>
    </row>
    <row r="415" spans="1:4" x14ac:dyDescent="0.25">
      <c r="A415" s="119">
        <v>41891</v>
      </c>
      <c r="B415" s="120">
        <v>-153887.96999999991</v>
      </c>
      <c r="C415" s="123">
        <v>165799247</v>
      </c>
      <c r="D415" s="122">
        <v>9.2815843729374668E-4</v>
      </c>
    </row>
    <row r="416" spans="1:4" x14ac:dyDescent="0.25">
      <c r="A416" s="119">
        <v>41890</v>
      </c>
      <c r="B416" s="120">
        <v>-96977.499999999913</v>
      </c>
      <c r="C416" s="123">
        <v>165799247</v>
      </c>
      <c r="D416" s="122">
        <v>5.8490917030521805E-4</v>
      </c>
    </row>
    <row r="417" spans="1:4" x14ac:dyDescent="0.25">
      <c r="A417" s="119">
        <v>41887</v>
      </c>
      <c r="B417" s="120">
        <v>-93869.999999999913</v>
      </c>
      <c r="C417" s="123">
        <v>165799247</v>
      </c>
      <c r="D417" s="122">
        <v>5.6616662438762407E-4</v>
      </c>
    </row>
    <row r="418" spans="1:4" x14ac:dyDescent="0.25">
      <c r="A418" s="119">
        <v>41886</v>
      </c>
      <c r="B418" s="120">
        <v>-942896.02719359798</v>
      </c>
      <c r="C418" s="123">
        <v>165799247</v>
      </c>
      <c r="D418" s="122">
        <v>5.6869741223468766E-3</v>
      </c>
    </row>
    <row r="419" spans="1:4" x14ac:dyDescent="0.25">
      <c r="A419" s="119">
        <v>41885</v>
      </c>
      <c r="B419" s="120">
        <v>-836520.62596874696</v>
      </c>
      <c r="C419" s="123">
        <v>165799247</v>
      </c>
      <c r="D419" s="122">
        <v>5.0453825400591052E-3</v>
      </c>
    </row>
    <row r="420" spans="1:4" x14ac:dyDescent="0.25">
      <c r="A420" s="119">
        <v>41884</v>
      </c>
      <c r="B420" s="120">
        <v>-350452.2899999998</v>
      </c>
      <c r="C420" s="123">
        <v>165799247</v>
      </c>
      <c r="D420" s="122">
        <v>2.1137146057122916E-3</v>
      </c>
    </row>
    <row r="421" spans="1:4" x14ac:dyDescent="0.25">
      <c r="A421" s="119">
        <v>41880</v>
      </c>
      <c r="B421" s="120">
        <v>-10751105.113374013</v>
      </c>
      <c r="C421" s="123">
        <v>162129120</v>
      </c>
      <c r="D421" s="122">
        <v>6.6311993264220603E-2</v>
      </c>
    </row>
    <row r="422" spans="1:4" x14ac:dyDescent="0.25">
      <c r="A422" s="119">
        <v>41879</v>
      </c>
      <c r="B422" s="120">
        <v>-581363.2300000001</v>
      </c>
      <c r="C422" s="123">
        <v>162129120</v>
      </c>
      <c r="D422" s="122">
        <v>3.5858038950683266E-3</v>
      </c>
    </row>
    <row r="423" spans="1:4" x14ac:dyDescent="0.25">
      <c r="A423" s="119">
        <v>41878</v>
      </c>
      <c r="B423" s="120">
        <v>-581788.79</v>
      </c>
      <c r="C423" s="123">
        <v>162129120</v>
      </c>
      <c r="D423" s="122">
        <v>3.5884287165686216E-3</v>
      </c>
    </row>
    <row r="424" spans="1:4" x14ac:dyDescent="0.25">
      <c r="A424" s="119">
        <v>41877</v>
      </c>
      <c r="B424" s="120">
        <v>-587661.45500000007</v>
      </c>
      <c r="C424" s="123">
        <v>162129120</v>
      </c>
      <c r="D424" s="122">
        <v>3.6246508646935239E-3</v>
      </c>
    </row>
    <row r="425" spans="1:4" x14ac:dyDescent="0.25">
      <c r="A425" s="119">
        <v>41876</v>
      </c>
      <c r="B425" s="120">
        <v>-699531.91749999858</v>
      </c>
      <c r="C425" s="123">
        <v>162129120</v>
      </c>
      <c r="D425" s="122">
        <v>4.3146593128982544E-3</v>
      </c>
    </row>
    <row r="426" spans="1:4" x14ac:dyDescent="0.25">
      <c r="A426" s="119">
        <v>41873</v>
      </c>
      <c r="B426" s="120">
        <v>-312053.93249999965</v>
      </c>
      <c r="C426" s="123">
        <v>162129120</v>
      </c>
      <c r="D426" s="122">
        <v>1.9247247656682504E-3</v>
      </c>
    </row>
    <row r="427" spans="1:4" x14ac:dyDescent="0.25">
      <c r="A427" s="119">
        <v>41872</v>
      </c>
      <c r="B427" s="120">
        <v>-214746.51999999967</v>
      </c>
      <c r="C427" s="123">
        <v>162129120</v>
      </c>
      <c r="D427" s="122">
        <v>1.3245400949564129E-3</v>
      </c>
    </row>
    <row r="428" spans="1:4" x14ac:dyDescent="0.25">
      <c r="A428" s="119">
        <v>41871</v>
      </c>
      <c r="B428" s="120">
        <v>-694918.29500000051</v>
      </c>
      <c r="C428" s="123">
        <v>162129120</v>
      </c>
      <c r="D428" s="122">
        <v>4.2862028425245296E-3</v>
      </c>
    </row>
    <row r="429" spans="1:4" x14ac:dyDescent="0.25">
      <c r="A429" s="119">
        <v>41870</v>
      </c>
      <c r="B429" s="120">
        <v>-420089.59499999962</v>
      </c>
      <c r="C429" s="123">
        <v>162129120</v>
      </c>
      <c r="D429" s="122">
        <v>2.5910804610547421E-3</v>
      </c>
    </row>
    <row r="430" spans="1:4" x14ac:dyDescent="0.25">
      <c r="A430" s="119">
        <v>41869</v>
      </c>
      <c r="B430" s="120">
        <v>-400111.63249999966</v>
      </c>
      <c r="C430" s="123">
        <v>162129120</v>
      </c>
      <c r="D430" s="122">
        <v>2.4678579178126648E-3</v>
      </c>
    </row>
    <row r="431" spans="1:4" x14ac:dyDescent="0.25">
      <c r="A431" s="119">
        <v>41866</v>
      </c>
      <c r="B431" s="120">
        <v>-354630.59499999991</v>
      </c>
      <c r="C431" s="123">
        <v>162129120</v>
      </c>
      <c r="D431" s="122">
        <v>2.1873343604159445E-3</v>
      </c>
    </row>
    <row r="432" spans="1:4" x14ac:dyDescent="0.25">
      <c r="A432" s="119">
        <v>41865</v>
      </c>
      <c r="B432" s="120">
        <v>-712758.6449999999</v>
      </c>
      <c r="C432" s="123">
        <v>162129120</v>
      </c>
      <c r="D432" s="122">
        <v>4.3962407555163431E-3</v>
      </c>
    </row>
    <row r="433" spans="1:4" x14ac:dyDescent="0.25">
      <c r="A433" s="119">
        <v>41864</v>
      </c>
      <c r="B433" s="120">
        <v>-698893.89609080832</v>
      </c>
      <c r="C433" s="123">
        <v>162129120</v>
      </c>
      <c r="D433" s="122">
        <v>4.3107240456915349E-3</v>
      </c>
    </row>
    <row r="434" spans="1:4" x14ac:dyDescent="0.25">
      <c r="A434" s="119">
        <v>41863</v>
      </c>
      <c r="B434" s="120">
        <v>-3401158.8705920605</v>
      </c>
      <c r="C434" s="123">
        <v>162129120</v>
      </c>
      <c r="D434" s="122">
        <v>2.0978087530432909E-2</v>
      </c>
    </row>
    <row r="435" spans="1:4" x14ac:dyDescent="0.25">
      <c r="A435" s="119">
        <v>41862</v>
      </c>
      <c r="B435" s="120">
        <v>-2633689.6231254134</v>
      </c>
      <c r="C435" s="123">
        <v>162129120</v>
      </c>
      <c r="D435" s="122">
        <v>1.62443959673957E-2</v>
      </c>
    </row>
    <row r="436" spans="1:4" x14ac:dyDescent="0.25">
      <c r="A436" s="119">
        <v>41859</v>
      </c>
      <c r="B436" s="120">
        <v>-3215177.2450000001</v>
      </c>
      <c r="C436" s="123">
        <v>162129120</v>
      </c>
      <c r="D436" s="122">
        <v>1.9830967102023377E-2</v>
      </c>
    </row>
    <row r="437" spans="1:4" x14ac:dyDescent="0.25">
      <c r="A437" s="119">
        <v>41858</v>
      </c>
      <c r="B437" s="120">
        <v>-5271944.9441449335</v>
      </c>
      <c r="C437" s="123">
        <v>162129120</v>
      </c>
      <c r="D437" s="122">
        <v>3.2516952809864962E-2</v>
      </c>
    </row>
    <row r="438" spans="1:4" x14ac:dyDescent="0.25">
      <c r="A438" s="119">
        <v>41857</v>
      </c>
      <c r="B438" s="120">
        <v>-2599668.7111906847</v>
      </c>
      <c r="C438" s="123">
        <v>162129120</v>
      </c>
      <c r="D438" s="122">
        <v>1.6034557587129843E-2</v>
      </c>
    </row>
    <row r="439" spans="1:4" x14ac:dyDescent="0.25">
      <c r="A439" s="119">
        <v>41856</v>
      </c>
      <c r="B439" s="120">
        <v>-2893407.3622149313</v>
      </c>
      <c r="C439" s="123">
        <v>162129120</v>
      </c>
      <c r="D439" s="122">
        <v>1.7846315098823277E-2</v>
      </c>
    </row>
    <row r="440" spans="1:4" x14ac:dyDescent="0.25">
      <c r="A440" s="119">
        <v>41855</v>
      </c>
      <c r="B440" s="120">
        <v>-2845464.5002367673</v>
      </c>
      <c r="C440" s="123">
        <v>162129120</v>
      </c>
      <c r="D440" s="122">
        <v>1.7550607196515761E-2</v>
      </c>
    </row>
    <row r="441" spans="1:4" x14ac:dyDescent="0.25">
      <c r="A441" s="119">
        <v>41852</v>
      </c>
      <c r="B441" s="120">
        <v>-3294199.2699041562</v>
      </c>
      <c r="C441" s="123">
        <v>162129120</v>
      </c>
      <c r="D441" s="122">
        <v>2.0318368901923085E-2</v>
      </c>
    </row>
    <row r="442" spans="1:4" x14ac:dyDescent="0.25">
      <c r="A442" s="119">
        <v>41851</v>
      </c>
      <c r="B442" s="120">
        <v>-2500539.5626715897</v>
      </c>
      <c r="C442" s="123">
        <v>164141207</v>
      </c>
      <c r="D442" s="122">
        <v>1.5234075637518552E-2</v>
      </c>
    </row>
    <row r="443" spans="1:4" x14ac:dyDescent="0.25">
      <c r="A443" s="119">
        <v>41850</v>
      </c>
      <c r="B443" s="120">
        <v>-521120.2609422903</v>
      </c>
      <c r="C443" s="123">
        <v>164141207</v>
      </c>
      <c r="D443" s="122">
        <v>3.1748289808925939E-3</v>
      </c>
    </row>
    <row r="444" spans="1:4" x14ac:dyDescent="0.25">
      <c r="A444" s="119">
        <v>41849</v>
      </c>
      <c r="B444" s="120">
        <v>-1264111.131833853</v>
      </c>
      <c r="C444" s="123">
        <v>164141207</v>
      </c>
      <c r="D444" s="122">
        <v>7.7013636912871795E-3</v>
      </c>
    </row>
    <row r="445" spans="1:4" x14ac:dyDescent="0.25">
      <c r="A445" s="119">
        <v>41848</v>
      </c>
      <c r="B445" s="120">
        <v>-1201342.6535923257</v>
      </c>
      <c r="C445" s="123">
        <v>164141207</v>
      </c>
      <c r="D445" s="122">
        <v>7.3189583258780697E-3</v>
      </c>
    </row>
    <row r="446" spans="1:4" x14ac:dyDescent="0.25">
      <c r="A446" s="119">
        <v>41845</v>
      </c>
      <c r="B446" s="120">
        <v>-3311735.0342933862</v>
      </c>
      <c r="C446" s="123">
        <v>164141207</v>
      </c>
      <c r="D446" s="122">
        <v>2.0176134285971141E-2</v>
      </c>
    </row>
    <row r="447" spans="1:4" x14ac:dyDescent="0.25">
      <c r="A447" s="119">
        <v>41844</v>
      </c>
      <c r="B447" s="120">
        <v>-3532100.1147824782</v>
      </c>
      <c r="C447" s="123">
        <v>164141207</v>
      </c>
      <c r="D447" s="122">
        <v>2.1518667855186895E-2</v>
      </c>
    </row>
    <row r="448" spans="1:4" x14ac:dyDescent="0.25">
      <c r="A448" s="119">
        <v>41843</v>
      </c>
      <c r="B448" s="120">
        <v>-1278724.6558500002</v>
      </c>
      <c r="C448" s="123">
        <v>164141207</v>
      </c>
      <c r="D448" s="122">
        <v>7.7903938884158457E-3</v>
      </c>
    </row>
    <row r="449" spans="1:4" x14ac:dyDescent="0.25">
      <c r="A449" s="119">
        <v>41842</v>
      </c>
      <c r="B449" s="120">
        <v>-1549151.1565000003</v>
      </c>
      <c r="C449" s="123">
        <v>164141207</v>
      </c>
      <c r="D449" s="122">
        <v>9.4379174176536934E-3</v>
      </c>
    </row>
    <row r="450" spans="1:4" x14ac:dyDescent="0.25">
      <c r="A450" s="119">
        <v>41841</v>
      </c>
      <c r="B450" s="120">
        <v>-1352213.3695</v>
      </c>
      <c r="C450" s="123">
        <v>164141207</v>
      </c>
      <c r="D450" s="122">
        <v>8.2381103088878839E-3</v>
      </c>
    </row>
    <row r="451" spans="1:4" x14ac:dyDescent="0.25">
      <c r="A451" s="119">
        <v>41838</v>
      </c>
      <c r="B451" s="120">
        <v>-2593300.44400946</v>
      </c>
      <c r="C451" s="123">
        <v>164141207</v>
      </c>
      <c r="D451" s="122">
        <v>1.5799204181613336E-2</v>
      </c>
    </row>
    <row r="452" spans="1:4" x14ac:dyDescent="0.25">
      <c r="A452" s="119">
        <v>41837</v>
      </c>
      <c r="B452" s="120">
        <v>-3661796.4251842229</v>
      </c>
      <c r="C452" s="123">
        <v>164141207</v>
      </c>
      <c r="D452" s="122">
        <v>2.2308818681857401E-2</v>
      </c>
    </row>
    <row r="453" spans="1:4" x14ac:dyDescent="0.25">
      <c r="A453" s="119">
        <v>41836</v>
      </c>
      <c r="B453" s="120">
        <v>-3160049.2951904503</v>
      </c>
      <c r="C453" s="123">
        <v>164141207</v>
      </c>
      <c r="D453" s="122">
        <v>1.9252016924613272E-2</v>
      </c>
    </row>
    <row r="454" spans="1:4" x14ac:dyDescent="0.25">
      <c r="A454" s="119">
        <v>41835</v>
      </c>
      <c r="B454" s="120">
        <v>-1084473.7040751914</v>
      </c>
      <c r="C454" s="123">
        <v>164141207</v>
      </c>
      <c r="D454" s="122">
        <v>6.6069558272176679E-3</v>
      </c>
    </row>
    <row r="455" spans="1:4" x14ac:dyDescent="0.25">
      <c r="A455" s="119">
        <v>41834</v>
      </c>
      <c r="B455" s="120">
        <v>-702091.15682006814</v>
      </c>
      <c r="C455" s="123">
        <v>164141207</v>
      </c>
      <c r="D455" s="122">
        <v>4.2773607532937668E-3</v>
      </c>
    </row>
    <row r="456" spans="1:4" x14ac:dyDescent="0.25">
      <c r="A456" s="119">
        <v>41831</v>
      </c>
      <c r="B456" s="120">
        <v>-621347.91437258478</v>
      </c>
      <c r="C456" s="123">
        <v>164141207</v>
      </c>
      <c r="D456" s="122">
        <v>3.7854474554496532E-3</v>
      </c>
    </row>
    <row r="457" spans="1:4" x14ac:dyDescent="0.25">
      <c r="A457" s="119">
        <v>41830</v>
      </c>
      <c r="B457" s="120">
        <v>-3160085.7946334044</v>
      </c>
      <c r="C457" s="123">
        <v>164141207</v>
      </c>
      <c r="D457" s="122">
        <v>1.9252239290730964E-2</v>
      </c>
    </row>
    <row r="458" spans="1:4" x14ac:dyDescent="0.25">
      <c r="A458" s="119">
        <v>41829</v>
      </c>
      <c r="B458" s="120">
        <v>-17268542.221975002</v>
      </c>
      <c r="C458" s="123">
        <v>164141207</v>
      </c>
      <c r="D458" s="122">
        <v>0.10520540537986298</v>
      </c>
    </row>
    <row r="459" spans="1:4" x14ac:dyDescent="0.25">
      <c r="A459" s="119">
        <v>41828</v>
      </c>
      <c r="B459" s="120">
        <v>-18834367.250413585</v>
      </c>
      <c r="C459" s="123">
        <v>164141207</v>
      </c>
      <c r="D459" s="122">
        <v>0.11474490528398262</v>
      </c>
    </row>
    <row r="460" spans="1:4" x14ac:dyDescent="0.25">
      <c r="A460" s="119">
        <v>41827</v>
      </c>
      <c r="B460" s="120">
        <v>-17819469.195048492</v>
      </c>
      <c r="C460" s="123">
        <v>164141207</v>
      </c>
      <c r="D460" s="122">
        <v>0.10856182625151825</v>
      </c>
    </row>
    <row r="461" spans="1:4" x14ac:dyDescent="0.25">
      <c r="A461" s="119">
        <v>41823</v>
      </c>
      <c r="B461" s="120">
        <v>-5756035.8257085402</v>
      </c>
      <c r="C461" s="123">
        <v>164141207</v>
      </c>
      <c r="D461" s="122">
        <v>3.5067585592376813E-2</v>
      </c>
    </row>
    <row r="462" spans="1:4" x14ac:dyDescent="0.25">
      <c r="A462" s="119">
        <v>41822</v>
      </c>
      <c r="B462" s="120">
        <v>-3421536.8067464544</v>
      </c>
      <c r="C462" s="123">
        <v>164141207</v>
      </c>
      <c r="D462" s="122">
        <v>2.0845081313106553E-2</v>
      </c>
    </row>
    <row r="463" spans="1:4" x14ac:dyDescent="0.25">
      <c r="A463" s="119">
        <v>41821</v>
      </c>
      <c r="B463" s="120">
        <v>-4481204.7132517807</v>
      </c>
      <c r="C463" s="123">
        <v>164141207</v>
      </c>
      <c r="D463" s="122">
        <v>2.730091239826073E-2</v>
      </c>
    </row>
    <row r="464" spans="1:4" x14ac:dyDescent="0.25">
      <c r="A464" s="119">
        <v>41820</v>
      </c>
      <c r="B464" s="120">
        <v>-3520781.3556559766</v>
      </c>
      <c r="C464" s="123">
        <v>166119135</v>
      </c>
      <c r="D464" s="122">
        <v>2.1194315487231358E-2</v>
      </c>
    </row>
    <row r="465" spans="1:4" x14ac:dyDescent="0.25">
      <c r="A465" s="119">
        <v>41817</v>
      </c>
      <c r="B465" s="120">
        <v>-3920601.6413800903</v>
      </c>
      <c r="C465" s="123">
        <v>166119135</v>
      </c>
      <c r="D465" s="122">
        <v>2.3601144090836315E-2</v>
      </c>
    </row>
    <row r="466" spans="1:4" x14ac:dyDescent="0.25">
      <c r="A466" s="119">
        <v>41816</v>
      </c>
      <c r="B466" s="120">
        <v>-4154015.1304566548</v>
      </c>
      <c r="C466" s="123">
        <v>166119135</v>
      </c>
      <c r="D466" s="122">
        <v>2.5006241035728093E-2</v>
      </c>
    </row>
    <row r="467" spans="1:4" x14ac:dyDescent="0.25">
      <c r="A467" s="119">
        <v>41815</v>
      </c>
      <c r="B467" s="120">
        <v>-5928494.4849103093</v>
      </c>
      <c r="C467" s="123">
        <v>166119135</v>
      </c>
      <c r="D467" s="122">
        <v>3.5688209458292146E-2</v>
      </c>
    </row>
    <row r="468" spans="1:4" x14ac:dyDescent="0.25">
      <c r="A468" s="119">
        <v>41814</v>
      </c>
      <c r="B468" s="120">
        <v>-6207972.2361836387</v>
      </c>
      <c r="C468" s="123">
        <v>166119135</v>
      </c>
      <c r="D468" s="122">
        <v>3.7370602948201236E-2</v>
      </c>
    </row>
    <row r="469" spans="1:4" x14ac:dyDescent="0.25">
      <c r="A469" s="119">
        <v>41813</v>
      </c>
      <c r="B469" s="120">
        <v>-8390494.786435768</v>
      </c>
      <c r="C469" s="123">
        <v>166119135</v>
      </c>
      <c r="D469" s="122">
        <v>5.0508900051976363E-2</v>
      </c>
    </row>
    <row r="470" spans="1:4" x14ac:dyDescent="0.25">
      <c r="A470" s="119">
        <v>41810</v>
      </c>
      <c r="B470" s="120">
        <v>-4219092.5256725177</v>
      </c>
      <c r="C470" s="123">
        <v>166119135</v>
      </c>
      <c r="D470" s="122">
        <v>2.5397992384637191E-2</v>
      </c>
    </row>
    <row r="471" spans="1:4" x14ac:dyDescent="0.25">
      <c r="A471" s="119">
        <v>41809</v>
      </c>
      <c r="B471" s="120">
        <v>-12066894.314832626</v>
      </c>
      <c r="C471" s="123">
        <v>166119135</v>
      </c>
      <c r="D471" s="122">
        <v>7.2640002097486403E-2</v>
      </c>
    </row>
    <row r="472" spans="1:4" x14ac:dyDescent="0.25">
      <c r="A472" s="119">
        <v>41808</v>
      </c>
      <c r="B472" s="120">
        <v>-11349858.595782125</v>
      </c>
      <c r="C472" s="123">
        <v>166119135</v>
      </c>
      <c r="D472" s="122">
        <v>6.8323607607167741E-2</v>
      </c>
    </row>
    <row r="473" spans="1:4" x14ac:dyDescent="0.25">
      <c r="A473" s="119">
        <v>41807</v>
      </c>
      <c r="B473" s="120">
        <v>-7475877.8530599196</v>
      </c>
      <c r="C473" s="123">
        <v>166119135</v>
      </c>
      <c r="D473" s="122">
        <v>4.5003110888218387E-2</v>
      </c>
    </row>
    <row r="474" spans="1:4" x14ac:dyDescent="0.25">
      <c r="A474" s="119">
        <v>41806</v>
      </c>
      <c r="B474" s="120">
        <v>-8978846.0415726919</v>
      </c>
      <c r="C474" s="123">
        <v>166119135</v>
      </c>
      <c r="D474" s="122">
        <v>5.405064288092213E-2</v>
      </c>
    </row>
    <row r="475" spans="1:4" x14ac:dyDescent="0.25">
      <c r="A475" s="119">
        <v>41803</v>
      </c>
      <c r="B475" s="120">
        <v>-8048058.6781472601</v>
      </c>
      <c r="C475" s="123">
        <v>166119135</v>
      </c>
      <c r="D475" s="122">
        <v>4.8447511348691165E-2</v>
      </c>
    </row>
    <row r="476" spans="1:4" x14ac:dyDescent="0.25">
      <c r="A476" s="119">
        <v>41802</v>
      </c>
      <c r="B476" s="120">
        <v>-8182970.7895959625</v>
      </c>
      <c r="C476" s="123">
        <v>166119135</v>
      </c>
      <c r="D476" s="122">
        <v>4.9259652053906748E-2</v>
      </c>
    </row>
    <row r="477" spans="1:4" x14ac:dyDescent="0.25">
      <c r="A477" s="119">
        <v>41801</v>
      </c>
      <c r="B477" s="120">
        <v>-10039367.267062627</v>
      </c>
      <c r="C477" s="123">
        <v>166119135</v>
      </c>
      <c r="D477" s="122">
        <v>6.0434743216442988E-2</v>
      </c>
    </row>
    <row r="478" spans="1:4" x14ac:dyDescent="0.25">
      <c r="A478" s="119">
        <v>41800</v>
      </c>
      <c r="B478" s="120">
        <v>-9757098.0998479165</v>
      </c>
      <c r="C478" s="123">
        <v>166119135</v>
      </c>
      <c r="D478" s="122">
        <v>5.8735546027541718E-2</v>
      </c>
    </row>
    <row r="479" spans="1:4" x14ac:dyDescent="0.25">
      <c r="A479" s="119">
        <v>41799</v>
      </c>
      <c r="B479" s="120">
        <v>-3322472.2276900467</v>
      </c>
      <c r="C479" s="123">
        <v>166119135</v>
      </c>
      <c r="D479" s="122">
        <v>2.0000538936649572E-2</v>
      </c>
    </row>
    <row r="480" spans="1:4" x14ac:dyDescent="0.25">
      <c r="A480" s="119">
        <v>41796</v>
      </c>
      <c r="B480" s="120">
        <v>-5852999.9215226099</v>
      </c>
      <c r="C480" s="123">
        <v>166119135</v>
      </c>
      <c r="D480" s="122">
        <v>3.5233749089306356E-2</v>
      </c>
    </row>
    <row r="481" spans="1:4" x14ac:dyDescent="0.25">
      <c r="A481" s="119">
        <v>41795</v>
      </c>
      <c r="B481" s="120">
        <v>-4879774.513176064</v>
      </c>
      <c r="C481" s="123">
        <v>166119135</v>
      </c>
      <c r="D481" s="122">
        <v>2.9375150028177453E-2</v>
      </c>
    </row>
    <row r="482" spans="1:4" x14ac:dyDescent="0.25">
      <c r="A482" s="119">
        <v>41794</v>
      </c>
      <c r="B482" s="120">
        <v>-4862409.5012287879</v>
      </c>
      <c r="C482" s="123">
        <v>166119135</v>
      </c>
      <c r="D482" s="122">
        <v>2.9270616544137363E-2</v>
      </c>
    </row>
    <row r="483" spans="1:4" x14ac:dyDescent="0.25">
      <c r="A483" s="119">
        <v>41793</v>
      </c>
      <c r="B483" s="120">
        <v>-3379608.2761243088</v>
      </c>
      <c r="C483" s="123">
        <v>166119135</v>
      </c>
      <c r="D483" s="122">
        <v>2.0344485155935281E-2</v>
      </c>
    </row>
    <row r="484" spans="1:4" x14ac:dyDescent="0.25">
      <c r="A484" s="119">
        <v>41792</v>
      </c>
      <c r="B484" s="120">
        <v>-7457690.916125006</v>
      </c>
      <c r="C484" s="123">
        <v>166119135</v>
      </c>
      <c r="D484" s="122">
        <v>4.4893629599774922E-2</v>
      </c>
    </row>
    <row r="485" spans="1:4" x14ac:dyDescent="0.25">
      <c r="A485" s="119">
        <v>41789</v>
      </c>
      <c r="B485" s="120">
        <v>-8215369.5394239677</v>
      </c>
      <c r="C485" s="123">
        <v>157043383</v>
      </c>
      <c r="D485" s="122">
        <v>5.2312739209292046E-2</v>
      </c>
    </row>
    <row r="486" spans="1:4" x14ac:dyDescent="0.25">
      <c r="A486" s="119">
        <v>41788</v>
      </c>
      <c r="B486" s="120">
        <v>-8137862.5445000026</v>
      </c>
      <c r="C486" s="123">
        <v>157043383</v>
      </c>
      <c r="D486" s="122">
        <v>5.1819200459404281E-2</v>
      </c>
    </row>
    <row r="487" spans="1:4" x14ac:dyDescent="0.25">
      <c r="A487" s="119">
        <v>41787</v>
      </c>
      <c r="B487" s="120">
        <v>-2592561.0859904294</v>
      </c>
      <c r="C487" s="123">
        <v>157043383</v>
      </c>
      <c r="D487" s="122">
        <v>1.6508566209315737E-2</v>
      </c>
    </row>
    <row r="488" spans="1:4" x14ac:dyDescent="0.25">
      <c r="A488" s="119">
        <v>41786</v>
      </c>
      <c r="B488" s="120">
        <v>-2060728.1556937471</v>
      </c>
      <c r="C488" s="123">
        <v>157043383</v>
      </c>
      <c r="D488" s="122">
        <v>1.3122031099481263E-2</v>
      </c>
    </row>
    <row r="489" spans="1:4" x14ac:dyDescent="0.25">
      <c r="A489" s="119">
        <v>41782</v>
      </c>
      <c r="B489" s="120">
        <v>-2903092.7307940708</v>
      </c>
      <c r="C489" s="123">
        <v>157043383</v>
      </c>
      <c r="D489" s="122">
        <v>1.8485928380656897E-2</v>
      </c>
    </row>
    <row r="490" spans="1:4" x14ac:dyDescent="0.25">
      <c r="A490" s="119">
        <v>41781</v>
      </c>
      <c r="B490" s="120">
        <v>-3414836.0688557229</v>
      </c>
      <c r="C490" s="123">
        <v>157043383</v>
      </c>
      <c r="D490" s="122">
        <v>2.1744539652815063E-2</v>
      </c>
    </row>
    <row r="491" spans="1:4" x14ac:dyDescent="0.25">
      <c r="A491" s="119">
        <v>41780</v>
      </c>
      <c r="B491" s="120">
        <v>-2747988.7959942804</v>
      </c>
      <c r="C491" s="123">
        <v>157043383</v>
      </c>
      <c r="D491" s="122">
        <v>1.7498278141360978E-2</v>
      </c>
    </row>
    <row r="492" spans="1:4" x14ac:dyDescent="0.25">
      <c r="A492" s="119">
        <v>41779</v>
      </c>
      <c r="B492" s="120">
        <v>-1948741.5548101743</v>
      </c>
      <c r="C492" s="123">
        <v>157043383</v>
      </c>
      <c r="D492" s="122">
        <v>1.2408937693415419E-2</v>
      </c>
    </row>
    <row r="493" spans="1:4" x14ac:dyDescent="0.25">
      <c r="A493" s="119">
        <v>41778</v>
      </c>
      <c r="B493" s="120">
        <v>-1706407.1315287938</v>
      </c>
      <c r="C493" s="123">
        <v>157043383</v>
      </c>
      <c r="D493" s="122">
        <v>1.0865832733167713E-2</v>
      </c>
    </row>
    <row r="494" spans="1:4" x14ac:dyDescent="0.25">
      <c r="A494" s="119">
        <v>41775</v>
      </c>
      <c r="B494" s="120">
        <v>-2025409.7633035686</v>
      </c>
      <c r="C494" s="123">
        <v>157043383</v>
      </c>
      <c r="D494" s="122">
        <v>1.2897135330455589E-2</v>
      </c>
    </row>
    <row r="495" spans="1:4" x14ac:dyDescent="0.25">
      <c r="A495" s="119">
        <v>41774</v>
      </c>
      <c r="B495" s="120">
        <v>-2267979.3528098371</v>
      </c>
      <c r="C495" s="123">
        <v>157043383</v>
      </c>
      <c r="D495" s="122">
        <v>1.4441737750961702E-2</v>
      </c>
    </row>
    <row r="496" spans="1:4" x14ac:dyDescent="0.25">
      <c r="A496" s="119">
        <v>41773</v>
      </c>
      <c r="B496" s="120">
        <v>-1542670.2192908572</v>
      </c>
      <c r="C496" s="123">
        <v>157043383</v>
      </c>
      <c r="D496" s="122">
        <v>9.8232105665404402E-3</v>
      </c>
    </row>
    <row r="497" spans="1:4" x14ac:dyDescent="0.25">
      <c r="A497" s="119">
        <v>41772</v>
      </c>
      <c r="B497" s="120">
        <v>-1724473.4817139721</v>
      </c>
      <c r="C497" s="123">
        <v>157043383</v>
      </c>
      <c r="D497" s="122">
        <v>1.0980873238791425E-2</v>
      </c>
    </row>
    <row r="498" spans="1:4" x14ac:dyDescent="0.25">
      <c r="A498" s="119">
        <v>41771</v>
      </c>
      <c r="B498" s="120">
        <v>-1510043.5047535636</v>
      </c>
      <c r="C498" s="123">
        <v>157043383</v>
      </c>
      <c r="D498" s="122">
        <v>9.6154545063102947E-3</v>
      </c>
    </row>
    <row r="499" spans="1:4" x14ac:dyDescent="0.25">
      <c r="A499" s="119">
        <v>41768</v>
      </c>
      <c r="B499" s="120">
        <v>-1481323.918481173</v>
      </c>
      <c r="C499" s="123">
        <v>157043383</v>
      </c>
      <c r="D499" s="122">
        <v>9.4325777386059812E-3</v>
      </c>
    </row>
    <row r="500" spans="1:4" x14ac:dyDescent="0.25">
      <c r="A500" s="119">
        <v>41767</v>
      </c>
      <c r="B500" s="120">
        <v>-4197282.0427185316</v>
      </c>
      <c r="C500" s="123">
        <v>157043383</v>
      </c>
      <c r="D500" s="122">
        <v>2.6726895221803337E-2</v>
      </c>
    </row>
    <row r="501" spans="1:4" x14ac:dyDescent="0.25">
      <c r="A501" s="119">
        <v>41766</v>
      </c>
      <c r="B501" s="120">
        <v>-7642677.5847210698</v>
      </c>
      <c r="C501" s="123">
        <v>157043383</v>
      </c>
      <c r="D501" s="122">
        <v>4.8666027429637514E-2</v>
      </c>
    </row>
    <row r="502" spans="1:4" x14ac:dyDescent="0.25">
      <c r="A502" s="119">
        <v>41765</v>
      </c>
      <c r="B502" s="120">
        <v>-10628791.278280374</v>
      </c>
      <c r="C502" s="123">
        <v>157043383</v>
      </c>
      <c r="D502" s="122">
        <v>6.7680605672385277E-2</v>
      </c>
    </row>
    <row r="503" spans="1:4" x14ac:dyDescent="0.25">
      <c r="A503" s="119">
        <v>41764</v>
      </c>
      <c r="B503" s="120">
        <v>-9269003.1068238281</v>
      </c>
      <c r="C503" s="123">
        <v>157043383</v>
      </c>
      <c r="D503" s="122">
        <v>5.9021927124582055E-2</v>
      </c>
    </row>
    <row r="504" spans="1:4" x14ac:dyDescent="0.25">
      <c r="A504" s="119">
        <v>41761</v>
      </c>
      <c r="B504" s="120">
        <v>-1288731.2622583029</v>
      </c>
      <c r="C504" s="123">
        <v>157043383</v>
      </c>
      <c r="D504" s="122">
        <v>8.2062117972732593E-3</v>
      </c>
    </row>
    <row r="505" spans="1:4" x14ac:dyDescent="0.25">
      <c r="A505" s="119">
        <v>41760</v>
      </c>
      <c r="B505" s="120">
        <v>-13281358.373031342</v>
      </c>
      <c r="C505" s="123">
        <v>157043383</v>
      </c>
      <c r="D505" s="122">
        <v>8.4571270175906377E-2</v>
      </c>
    </row>
    <row r="506" spans="1:4" x14ac:dyDescent="0.25">
      <c r="A506" s="119"/>
    </row>
    <row r="507" spans="1:4" x14ac:dyDescent="0.25">
      <c r="A507" s="119"/>
    </row>
    <row r="508" spans="1:4" x14ac:dyDescent="0.25">
      <c r="A508" s="119"/>
    </row>
    <row r="509" spans="1:4" x14ac:dyDescent="0.25">
      <c r="A509" s="119"/>
    </row>
    <row r="510" spans="1:4" x14ac:dyDescent="0.25">
      <c r="A510" s="119"/>
    </row>
    <row r="511" spans="1:4" x14ac:dyDescent="0.25">
      <c r="A511" s="119"/>
    </row>
    <row r="512" spans="1:4" x14ac:dyDescent="0.25">
      <c r="A512" s="119"/>
    </row>
    <row r="513" spans="1:1" x14ac:dyDescent="0.25">
      <c r="A513" s="119"/>
    </row>
    <row r="514" spans="1:1" x14ac:dyDescent="0.25">
      <c r="A514" s="119"/>
    </row>
    <row r="515" spans="1:1" x14ac:dyDescent="0.25">
      <c r="A515" s="119"/>
    </row>
    <row r="516" spans="1:1" x14ac:dyDescent="0.25">
      <c r="A516" s="119"/>
    </row>
    <row r="517" spans="1:1" x14ac:dyDescent="0.25">
      <c r="A517" s="119"/>
    </row>
    <row r="518" spans="1:1" x14ac:dyDescent="0.25">
      <c r="A518" s="119"/>
    </row>
    <row r="519" spans="1:1" x14ac:dyDescent="0.25">
      <c r="A519" s="119"/>
    </row>
    <row r="520" spans="1:1" x14ac:dyDescent="0.25">
      <c r="A520" s="119"/>
    </row>
    <row r="521" spans="1:1" x14ac:dyDescent="0.25">
      <c r="A521" s="119"/>
    </row>
    <row r="522" spans="1:1" x14ac:dyDescent="0.25">
      <c r="A522" s="119"/>
    </row>
    <row r="523" spans="1:1" x14ac:dyDescent="0.25">
      <c r="A523" s="119"/>
    </row>
    <row r="524" spans="1:1" x14ac:dyDescent="0.25">
      <c r="A524" s="119"/>
    </row>
    <row r="525" spans="1:1" x14ac:dyDescent="0.25">
      <c r="A525" s="119"/>
    </row>
    <row r="526" spans="1:1" x14ac:dyDescent="0.25">
      <c r="A526" s="119"/>
    </row>
    <row r="527" spans="1:1" x14ac:dyDescent="0.25">
      <c r="A527" s="119"/>
    </row>
    <row r="528" spans="1:1" x14ac:dyDescent="0.25">
      <c r="A528" s="119"/>
    </row>
    <row r="529" spans="1:1" x14ac:dyDescent="0.25">
      <c r="A529" s="119"/>
    </row>
    <row r="530" spans="1:1" x14ac:dyDescent="0.25">
      <c r="A530" s="119"/>
    </row>
    <row r="531" spans="1:1" x14ac:dyDescent="0.25">
      <c r="A531" s="119"/>
    </row>
    <row r="532" spans="1:1" x14ac:dyDescent="0.25">
      <c r="A532" s="119"/>
    </row>
    <row r="533" spans="1:1" x14ac:dyDescent="0.25">
      <c r="A533" s="119"/>
    </row>
    <row r="534" spans="1:1" x14ac:dyDescent="0.25">
      <c r="A534" s="119"/>
    </row>
    <row r="535" spans="1:1" x14ac:dyDescent="0.25">
      <c r="A535" s="119"/>
    </row>
    <row r="536" spans="1:1" x14ac:dyDescent="0.25">
      <c r="A536" s="119"/>
    </row>
    <row r="537" spans="1:1" x14ac:dyDescent="0.25">
      <c r="A537" s="119"/>
    </row>
    <row r="538" spans="1:1" x14ac:dyDescent="0.25">
      <c r="A538" s="119"/>
    </row>
    <row r="539" spans="1:1" x14ac:dyDescent="0.25">
      <c r="A539" s="119"/>
    </row>
    <row r="540" spans="1:1" x14ac:dyDescent="0.25">
      <c r="A540" s="119"/>
    </row>
    <row r="541" spans="1:1" x14ac:dyDescent="0.25">
      <c r="A541" s="119"/>
    </row>
    <row r="542" spans="1:1" x14ac:dyDescent="0.25">
      <c r="A542" s="119"/>
    </row>
    <row r="543" spans="1:1" x14ac:dyDescent="0.25">
      <c r="A543" s="119"/>
    </row>
    <row r="544" spans="1:1" x14ac:dyDescent="0.25">
      <c r="A544" s="119"/>
    </row>
    <row r="545" spans="1:1" x14ac:dyDescent="0.25">
      <c r="A545" s="119"/>
    </row>
    <row r="546" spans="1:1" x14ac:dyDescent="0.25">
      <c r="A546" s="119"/>
    </row>
    <row r="547" spans="1:1" x14ac:dyDescent="0.25">
      <c r="A547" s="119"/>
    </row>
    <row r="548" spans="1:1" x14ac:dyDescent="0.25">
      <c r="A548" s="119"/>
    </row>
    <row r="549" spans="1:1" x14ac:dyDescent="0.25">
      <c r="A549" s="119"/>
    </row>
    <row r="550" spans="1:1" x14ac:dyDescent="0.25">
      <c r="A550" s="119"/>
    </row>
    <row r="551" spans="1:1" x14ac:dyDescent="0.25">
      <c r="A551" s="119"/>
    </row>
    <row r="552" spans="1:1" x14ac:dyDescent="0.25">
      <c r="A552" s="119"/>
    </row>
    <row r="553" spans="1:1" x14ac:dyDescent="0.25">
      <c r="A553" s="119"/>
    </row>
    <row r="554" spans="1:1" x14ac:dyDescent="0.25">
      <c r="A554" s="119"/>
    </row>
    <row r="555" spans="1:1" x14ac:dyDescent="0.25">
      <c r="A555" s="1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681</vt:i4>
      </vt:variant>
    </vt:vector>
  </HeadingPairs>
  <TitlesOfParts>
    <vt:vector size="688" baseType="lpstr">
      <vt:lpstr>CCAR 9Q capital ratios</vt:lpstr>
      <vt:lpstr>Excess net capital</vt:lpstr>
      <vt:lpstr>Excess Margin Coverage </vt:lpstr>
      <vt:lpstr>Cost to Revenue</vt:lpstr>
      <vt:lpstr>highest one day amount </vt:lpstr>
      <vt:lpstr>MtM VaR</vt:lpstr>
      <vt:lpstr>Failed Trades</vt:lpstr>
      <vt:lpstr>_vena_CapSIS_B1_C_1_230858509795983360</vt:lpstr>
      <vt:lpstr>_vena_CapSIS_B1_C_1_230858525113581568</vt:lpstr>
      <vt:lpstr>_vena_CapSIS_B1_C_1_230858539172888576</vt:lpstr>
      <vt:lpstr>_vena_CapSIS_B1_C_1_230858563583737856</vt:lpstr>
      <vt:lpstr>_vena_CapSIS_B1_C_1_230858841607110656</vt:lpstr>
      <vt:lpstr>_vena_CapSIS_B1_C_1_230858841607110656_1</vt:lpstr>
      <vt:lpstr>_vena_CapSIS_B1_C_1_230858841607110656_2</vt:lpstr>
      <vt:lpstr>_vena_CapSIS_B1_C_1_230858841607110656_3</vt:lpstr>
      <vt:lpstr>_vena_CapSIS_B1_C_1_230858841607110656_4</vt:lpstr>
      <vt:lpstr>_vena_CapSIS_B1_C_1_230858864537370624</vt:lpstr>
      <vt:lpstr>_vena_CapSIS_B1_C_1_230858864537370624_1</vt:lpstr>
      <vt:lpstr>_vena_CapSIS_B1_C_1_230858864537370624_2</vt:lpstr>
      <vt:lpstr>_vena_CapSIS_B1_C_1_230858864537370624_3</vt:lpstr>
      <vt:lpstr>_vena_CapSIS_B1_C_1_230858864537370624_4</vt:lpstr>
      <vt:lpstr>_vena_CapSIS_B1_C_1_230858883713728512</vt:lpstr>
      <vt:lpstr>_vena_CapSIS_B1_C_1_230858883713728512_1</vt:lpstr>
      <vt:lpstr>_vena_CapSIS_B1_C_1_230858883713728512_2</vt:lpstr>
      <vt:lpstr>_vena_CapSIS_B1_C_1_230858883713728512_3</vt:lpstr>
      <vt:lpstr>_vena_CapSIS_B1_C_1_230858883713728512_4</vt:lpstr>
      <vt:lpstr>_vena_CapSIS_B1_C_1_230858941431545856</vt:lpstr>
      <vt:lpstr>_vena_CapSIS_B1_C_1_230858941431545856_1</vt:lpstr>
      <vt:lpstr>_vena_CapSIS_B1_C_1_230858941431545856_2</vt:lpstr>
      <vt:lpstr>_vena_CapSIS_B1_C_1_230858941431545856_3</vt:lpstr>
      <vt:lpstr>_vena_CapSIS_B1_C_1_230858941431545856_4</vt:lpstr>
      <vt:lpstr>_vena_CapSIS_B1_C_1_230859049971744768</vt:lpstr>
      <vt:lpstr>_vena_CapSIS_B1_C_1_230859049971744768_1</vt:lpstr>
      <vt:lpstr>_vena_CapSIS_B1_C_1_230859049971744768_2</vt:lpstr>
      <vt:lpstr>_vena_CapSIS_B1_C_1_230859049971744768_3</vt:lpstr>
      <vt:lpstr>_vena_CapSIS_B1_C_1_230859049971744768_4</vt:lpstr>
      <vt:lpstr>_vena_CapSIS_B1_C_1_230859064827969536</vt:lpstr>
      <vt:lpstr>_vena_CapSIS_B1_C_1_230859064827969536_1</vt:lpstr>
      <vt:lpstr>_vena_CapSIS_B1_C_1_230859064827969536_2</vt:lpstr>
      <vt:lpstr>_vena_CapSIS_B1_C_1_230859064827969536_3</vt:lpstr>
      <vt:lpstr>_vena_CapSIS_B1_C_1_230859064827969536_4</vt:lpstr>
      <vt:lpstr>_vena_CapSIS_B1_C_1_230859078451068928</vt:lpstr>
      <vt:lpstr>_vena_CapSIS_B1_C_1_230859078451068928_1</vt:lpstr>
      <vt:lpstr>_vena_CapSIS_B1_C_1_230859078451068928_2</vt:lpstr>
      <vt:lpstr>_vena_CapSIS_B1_C_1_230859078451068928_3</vt:lpstr>
      <vt:lpstr>_vena_CapSIS_B1_C_1_230859078451068928_4</vt:lpstr>
      <vt:lpstr>_vena_CapSIS_B1_C_1_230859093835776000</vt:lpstr>
      <vt:lpstr>_vena_CapSIS_B1_C_1_230859093835776000_1</vt:lpstr>
      <vt:lpstr>_vena_CapSIS_B1_C_1_230859093835776000_2</vt:lpstr>
      <vt:lpstr>_vena_CapSIS_B1_C_1_230859093835776000_3</vt:lpstr>
      <vt:lpstr>_vena_CapSIS_B1_C_1_230859093835776000_4</vt:lpstr>
      <vt:lpstr>_vena_CapSIS_B1_C_1_248550486083371008</vt:lpstr>
      <vt:lpstr>_vena_CapSIS_B1_C_1_248550486083371008_1</vt:lpstr>
      <vt:lpstr>_vena_CapSIS_B1_C_1_248550486083371008_2</vt:lpstr>
      <vt:lpstr>_vena_CapSIS_B1_C_1_248550486083371008_3</vt:lpstr>
      <vt:lpstr>_vena_CapSIS_B1_C_1_248550486083371008_4</vt:lpstr>
      <vt:lpstr>_vena_CapSIS_B1_C_2_230860126356111360</vt:lpstr>
      <vt:lpstr>_vena_CapSIS_B1_C_2_230860226616754176</vt:lpstr>
      <vt:lpstr>_vena_CapSIS_B1_C_2_230860226616754176_1</vt:lpstr>
      <vt:lpstr>_vena_CapSIS_B1_C_2_230860226616754176_2</vt:lpstr>
      <vt:lpstr>_vena_CapSIS_B1_C_2_230860226616754176_3</vt:lpstr>
      <vt:lpstr>_vena_CapSIS_B1_C_2_230860226616754176_4</vt:lpstr>
      <vt:lpstr>_vena_CapSIS_B1_C_2_230860237857488896</vt:lpstr>
      <vt:lpstr>_vena_CapSIS_B1_C_2_230860237857488896_1</vt:lpstr>
      <vt:lpstr>_vena_CapSIS_B1_C_2_230860237857488896_2</vt:lpstr>
      <vt:lpstr>_vena_CapSIS_B1_C_2_230860237857488896_3</vt:lpstr>
      <vt:lpstr>_vena_CapSIS_B1_C_2_230860237857488896_4</vt:lpstr>
      <vt:lpstr>_vena_CapSIS_B1_C_2_230860246497755136</vt:lpstr>
      <vt:lpstr>_vena_CapSIS_B1_C_2_230860246497755136_1</vt:lpstr>
      <vt:lpstr>_vena_CapSIS_B1_C_2_230860246497755136_2</vt:lpstr>
      <vt:lpstr>_vena_CapSIS_B1_C_2_230860246497755136_3</vt:lpstr>
      <vt:lpstr>_vena_CapSIS_B1_C_2_230860246497755136_4</vt:lpstr>
      <vt:lpstr>_vena_CapSIS_B1_C_2_230860256148848640</vt:lpstr>
      <vt:lpstr>_vena_CapSIS_B1_C_2_230860256148848640_1</vt:lpstr>
      <vt:lpstr>_vena_CapSIS_B1_C_2_230860256148848640_2</vt:lpstr>
      <vt:lpstr>_vena_CapSIS_B1_C_2_230860256148848640_3</vt:lpstr>
      <vt:lpstr>_vena_CapSIS_B1_C_2_230860256148848640_4</vt:lpstr>
      <vt:lpstr>_vena_CapSIS_B1_C_2_230860293570428928</vt:lpstr>
      <vt:lpstr>_vena_CapSIS_B1_C_2_230860293570428928_1</vt:lpstr>
      <vt:lpstr>_vena_CapSIS_B1_C_2_230860293570428928_2</vt:lpstr>
      <vt:lpstr>_vena_CapSIS_B1_C_2_230860293570428928_3</vt:lpstr>
      <vt:lpstr>_vena_CapSIS_B1_C_2_230860293570428928_4</vt:lpstr>
      <vt:lpstr>_vena_CapSIS_B1_C_2_230860306308530176</vt:lpstr>
      <vt:lpstr>_vena_CapSIS_B1_C_2_230860306308530176_1</vt:lpstr>
      <vt:lpstr>_vena_CapSIS_B1_C_2_230860306308530176_2</vt:lpstr>
      <vt:lpstr>_vena_CapSIS_B1_C_2_230860306308530176_3</vt:lpstr>
      <vt:lpstr>_vena_CapSIS_B1_C_2_230860306308530176_4</vt:lpstr>
      <vt:lpstr>_vena_CapSIS_B1_C_2_230860320749518848</vt:lpstr>
      <vt:lpstr>_vena_CapSIS_B1_C_2_230860320749518848_1</vt:lpstr>
      <vt:lpstr>_vena_CapSIS_B1_C_2_230860320749518848_2</vt:lpstr>
      <vt:lpstr>_vena_CapSIS_B1_C_2_230860320749518848_3</vt:lpstr>
      <vt:lpstr>_vena_CapSIS_B1_C_2_230860320749518848_4</vt:lpstr>
      <vt:lpstr>_vena_CapSIS_B1_C_2_230860332363546624</vt:lpstr>
      <vt:lpstr>_vena_CapSIS_B1_C_2_230860332363546624_1</vt:lpstr>
      <vt:lpstr>_vena_CapSIS_B1_C_2_230860332363546624_2</vt:lpstr>
      <vt:lpstr>_vena_CapSIS_B1_C_2_230860332363546624_3</vt:lpstr>
      <vt:lpstr>_vena_CapSIS_B1_C_2_230860332363546624_4</vt:lpstr>
      <vt:lpstr>_vena_CapSIS_B1_C_2_230860342882861056</vt:lpstr>
      <vt:lpstr>_vena_CapSIS_B1_C_2_230860342882861056_1</vt:lpstr>
      <vt:lpstr>_vena_CapSIS_B1_C_2_230860342882861056_2</vt:lpstr>
      <vt:lpstr>_vena_CapSIS_B1_C_2_230860342882861056_3</vt:lpstr>
      <vt:lpstr>_vena_CapSIS_B1_C_2_230860342882861056_4</vt:lpstr>
      <vt:lpstr>_vena_CapSIS_B1_C_2_248614950019268608</vt:lpstr>
      <vt:lpstr>_vena_CapSIS_B1_C_2_248614950019268608_1</vt:lpstr>
      <vt:lpstr>_vena_CapSIS_B1_C_2_248614950019268608_2</vt:lpstr>
      <vt:lpstr>_vena_CapSIS_B1_C_3_230860830692999168</vt:lpstr>
      <vt:lpstr>_vena_CapSIS_B1_C_3_230860830692999168_1</vt:lpstr>
      <vt:lpstr>_vena_CapSIS_B1_C_3_230860830692999168_10</vt:lpstr>
      <vt:lpstr>_vena_CapSIS_B1_C_3_230860830692999168_11</vt:lpstr>
      <vt:lpstr>_vena_CapSIS_B1_C_3_230860830692999168_12</vt:lpstr>
      <vt:lpstr>_vena_CapSIS_B1_C_3_230860830692999168_13</vt:lpstr>
      <vt:lpstr>_vena_CapSIS_B1_C_3_230860830692999168_14</vt:lpstr>
      <vt:lpstr>_vena_CapSIS_B1_C_3_230860830692999168_15</vt:lpstr>
      <vt:lpstr>_vena_CapSIS_B1_C_3_230860830692999168_16</vt:lpstr>
      <vt:lpstr>_vena_CapSIS_B1_C_3_230860830692999168_17</vt:lpstr>
      <vt:lpstr>_vena_CapSIS_B1_C_3_230860830692999168_18</vt:lpstr>
      <vt:lpstr>_vena_CapSIS_B1_C_3_230860830692999168_19</vt:lpstr>
      <vt:lpstr>_vena_CapSIS_B1_C_3_230860830692999168_2</vt:lpstr>
      <vt:lpstr>_vena_CapSIS_B1_C_3_230860830692999168_20</vt:lpstr>
      <vt:lpstr>_vena_CapSIS_B1_C_3_230860830692999168_21</vt:lpstr>
      <vt:lpstr>_vena_CapSIS_B1_C_3_230860830692999168_22</vt:lpstr>
      <vt:lpstr>_vena_CapSIS_B1_C_3_230860830692999168_23</vt:lpstr>
      <vt:lpstr>_vena_CapSIS_B1_C_3_230860830692999168_24</vt:lpstr>
      <vt:lpstr>_vena_CapSIS_B1_C_3_230860830692999168_25</vt:lpstr>
      <vt:lpstr>_vena_CapSIS_B1_C_3_230860830692999168_26</vt:lpstr>
      <vt:lpstr>_vena_CapSIS_B1_C_3_230860830692999168_27</vt:lpstr>
      <vt:lpstr>_vena_CapSIS_B1_C_3_230860830692999168_28</vt:lpstr>
      <vt:lpstr>_vena_CapSIS_B1_C_3_230860830692999168_29</vt:lpstr>
      <vt:lpstr>_vena_CapSIS_B1_C_3_230860830692999168_3</vt:lpstr>
      <vt:lpstr>_vena_CapSIS_B1_C_3_230860830692999168_30</vt:lpstr>
      <vt:lpstr>_vena_CapSIS_B1_C_3_230860830692999168_31</vt:lpstr>
      <vt:lpstr>_vena_CapSIS_B1_C_3_230860830692999168_32</vt:lpstr>
      <vt:lpstr>_vena_CapSIS_B1_C_3_230860830692999168_33</vt:lpstr>
      <vt:lpstr>_vena_CapSIS_B1_C_3_230860830692999168_34</vt:lpstr>
      <vt:lpstr>_vena_CapSIS_B1_C_3_230860830692999168_35</vt:lpstr>
      <vt:lpstr>_vena_CapSIS_B1_C_3_230860830692999168_36</vt:lpstr>
      <vt:lpstr>_vena_CapSIS_B1_C_3_230860830692999168_37</vt:lpstr>
      <vt:lpstr>_vena_CapSIS_B1_C_3_230860830692999168_38</vt:lpstr>
      <vt:lpstr>_vena_CapSIS_B1_C_3_230860830692999168_39</vt:lpstr>
      <vt:lpstr>_vena_CapSIS_B1_C_3_230860830692999168_4</vt:lpstr>
      <vt:lpstr>_vena_CapSIS_B1_C_3_230860830692999168_40</vt:lpstr>
      <vt:lpstr>_vena_CapSIS_B1_C_3_230860830692999168_41</vt:lpstr>
      <vt:lpstr>_vena_CapSIS_B1_C_3_230860830692999168_42</vt:lpstr>
      <vt:lpstr>_vena_CapSIS_B1_C_3_230860830692999168_43</vt:lpstr>
      <vt:lpstr>_vena_CapSIS_B1_C_3_230860830692999168_44</vt:lpstr>
      <vt:lpstr>_vena_CapSIS_B1_C_3_230860830692999168_45</vt:lpstr>
      <vt:lpstr>_vena_CapSIS_B1_C_3_230860830692999168_5</vt:lpstr>
      <vt:lpstr>_vena_CapSIS_B1_C_3_230860830692999168_6</vt:lpstr>
      <vt:lpstr>_vena_CapSIS_B1_C_3_230860830692999168_7</vt:lpstr>
      <vt:lpstr>_vena_CapSIS_B1_C_3_230860830692999168_8</vt:lpstr>
      <vt:lpstr>_vena_CapSIS_B1_C_3_230860830692999168_9</vt:lpstr>
      <vt:lpstr>_vena_CapSIS_B1_C_3_230860959693012992</vt:lpstr>
      <vt:lpstr>_vena_CapSIS_B1_C_3_230860959693012992_1</vt:lpstr>
      <vt:lpstr>_vena_CapSIS_B1_C_3_230860959693012992_2</vt:lpstr>
      <vt:lpstr>_vena_CapSIS_B1_C_4_230862887281885184</vt:lpstr>
      <vt:lpstr>_vena_CapSIS_B1_C_4_230862887281885184_1</vt:lpstr>
      <vt:lpstr>_vena_CapSIS_B1_C_4_230862887281885184_2</vt:lpstr>
      <vt:lpstr>_vena_CapSIS_B1_C_4_230862887281885184_3</vt:lpstr>
      <vt:lpstr>_vena_CapSIS_B1_C_4_230862887281885184_4</vt:lpstr>
      <vt:lpstr>_vena_CapSIS_B1_C_4_230862887281885184_5</vt:lpstr>
      <vt:lpstr>_vena_CapSIS_B1_C_4_230862887281885184_6</vt:lpstr>
      <vt:lpstr>_vena_CapSIS_B1_C_4_230862887281885184_7</vt:lpstr>
      <vt:lpstr>_vena_CapSIS_B1_C_4_230862887281885184_8</vt:lpstr>
      <vt:lpstr>_vena_CapSIS_B1_C_4_230862937282183168</vt:lpstr>
      <vt:lpstr>_vena_CapSIS_B1_C_4_230862937282183168_1</vt:lpstr>
      <vt:lpstr>_vena_CapSIS_B1_C_4_230862937282183168_2</vt:lpstr>
      <vt:lpstr>_vena_CapSIS_B1_C_4_230862937282183168_3</vt:lpstr>
      <vt:lpstr>_vena_CapSIS_B1_C_4_230862937282183168_4</vt:lpstr>
      <vt:lpstr>_vena_CapSIS_B1_C_4_230862937282183168_5</vt:lpstr>
      <vt:lpstr>_vena_CapSIS_B1_C_4_230862937282183168_6</vt:lpstr>
      <vt:lpstr>_vena_CapSIS_B1_C_4_230862937282183168_7</vt:lpstr>
      <vt:lpstr>_vena_CapSIS_B1_C_4_230862937282183168_8</vt:lpstr>
      <vt:lpstr>_vena_CapSIS_B1_C_4_230862963278479360</vt:lpstr>
      <vt:lpstr>_vena_CapSIS_B1_C_4_230862963278479360_1</vt:lpstr>
      <vt:lpstr>_vena_CapSIS_B1_C_4_230862963278479360_2</vt:lpstr>
      <vt:lpstr>_vena_CapSIS_B1_C_4_230862963278479360_3</vt:lpstr>
      <vt:lpstr>_vena_CapSIS_B1_C_4_230862963278479360_4</vt:lpstr>
      <vt:lpstr>_vena_CapSIS_B1_C_4_230862963278479360_5</vt:lpstr>
      <vt:lpstr>_vena_CapSIS_B1_C_4_230862963278479360_6</vt:lpstr>
      <vt:lpstr>_vena_CapSIS_B1_C_4_230862963278479360_7</vt:lpstr>
      <vt:lpstr>_vena_CapSIS_B1_C_4_230862963278479360_8</vt:lpstr>
      <vt:lpstr>_vena_CapSIS_B1_C_4_230863001366953984</vt:lpstr>
      <vt:lpstr>_vena_CapSIS_B1_C_4_230863001366953984_1</vt:lpstr>
      <vt:lpstr>_vena_CapSIS_B1_C_4_230863001366953984_2</vt:lpstr>
      <vt:lpstr>_vena_CapSIS_B1_C_4_230863001366953984_3</vt:lpstr>
      <vt:lpstr>_vena_CapSIS_B1_C_4_230863001366953984_4</vt:lpstr>
      <vt:lpstr>_vena_CapSIS_B1_C_4_230863001366953984_5</vt:lpstr>
      <vt:lpstr>_vena_CapSIS_B1_C_4_230863001366953984_6</vt:lpstr>
      <vt:lpstr>_vena_CapSIS_B1_C_4_230863001366953984_7</vt:lpstr>
      <vt:lpstr>_vena_CapSIS_B1_C_4_230863001366953984_8</vt:lpstr>
      <vt:lpstr>_vena_CapSIS_B1_C_4_230863046111789056</vt:lpstr>
      <vt:lpstr>_vena_CapSIS_B1_C_4_230863046111789056_1</vt:lpstr>
      <vt:lpstr>_vena_CapSIS_B1_C_4_230863046111789056_2</vt:lpstr>
      <vt:lpstr>_vena_CapSIS_B1_C_4_230863046111789056_3</vt:lpstr>
      <vt:lpstr>_vena_CapSIS_B1_C_4_230863046111789056_4</vt:lpstr>
      <vt:lpstr>_vena_CapSIS_B1_C_4_230863046111789056_5</vt:lpstr>
      <vt:lpstr>_vena_CapSIS_B1_C_4_230863046111789056_6</vt:lpstr>
      <vt:lpstr>_vena_CapSIS_B1_C_4_230863046111789056_7</vt:lpstr>
      <vt:lpstr>_vena_CapSIS_B1_C_4_230863046111789056_8</vt:lpstr>
      <vt:lpstr>_vena_CapSIS_B1_C_4_230863071093063680</vt:lpstr>
      <vt:lpstr>_vena_CapSIS_B1_C_4_230863071093063680_1</vt:lpstr>
      <vt:lpstr>_vena_CapSIS_B1_C_4_230863071093063680_2</vt:lpstr>
      <vt:lpstr>_vena_CapSIS_B1_C_4_230863071093063680_3</vt:lpstr>
      <vt:lpstr>_vena_CapSIS_B1_C_FV_6053e8fe227041fcbe8015c4f16779fe_10</vt:lpstr>
      <vt:lpstr>_vena_CapSIS_B1_C_FV_6053e8fe227041fcbe8015c4f16779fe_11</vt:lpstr>
      <vt:lpstr>_vena_CapSIS_B1_C_FV_6053e8fe227041fcbe8015c4f16779fe_12</vt:lpstr>
      <vt:lpstr>_vena_CapSIS_B1_C_FV_6053e8fe227041fcbe8015c4f16779fe_13</vt:lpstr>
      <vt:lpstr>_vena_CapSIS_B1_C_FV_6053e8fe227041fcbe8015c4f16779fe_14</vt:lpstr>
      <vt:lpstr>_vena_CapSIS_B1_C_FV_6053e8fe227041fcbe8015c4f16779fe_15</vt:lpstr>
      <vt:lpstr>_vena_CapSIS_B1_C_FV_6053e8fe227041fcbe8015c4f16779fe_16</vt:lpstr>
      <vt:lpstr>_vena_CapSIS_B1_C_FV_6053e8fe227041fcbe8015c4f16779fe_17</vt:lpstr>
      <vt:lpstr>_vena_CapSIS_B1_C_FV_6053e8fe227041fcbe8015c4f16779fe_18</vt:lpstr>
      <vt:lpstr>_vena_CapSIS_B1_C_FV_6053e8fe227041fcbe8015c4f16779fe_19</vt:lpstr>
      <vt:lpstr>_vena_CapSIS_B1_C_FV_6053e8fe227041fcbe8015c4f16779fe_20</vt:lpstr>
      <vt:lpstr>_vena_CapSIS_B1_C_FV_6053e8fe227041fcbe8015c4f16779fe_21</vt:lpstr>
      <vt:lpstr>_vena_CapSIS_B1_C_FV_6053e8fe227041fcbe8015c4f16779fe_22</vt:lpstr>
      <vt:lpstr>_vena_CapSIS_B1_C_FV_6053e8fe227041fcbe8015c4f16779fe_23</vt:lpstr>
      <vt:lpstr>_vena_CapSIS_B1_C_FV_6053e8fe227041fcbe8015c4f16779fe_24</vt:lpstr>
      <vt:lpstr>_vena_CapSIS_B1_C_FV_6053e8fe227041fcbe8015c4f16779fe_25</vt:lpstr>
      <vt:lpstr>_vena_CapSIS_B1_C_FV_6053e8fe227041fcbe8015c4f16779fe_26</vt:lpstr>
      <vt:lpstr>_vena_CapSIS_B1_C_FV_6053e8fe227041fcbe8015c4f16779fe_27</vt:lpstr>
      <vt:lpstr>_vena_CapSIS_B1_C_FV_6053e8fe227041fcbe8015c4f16779fe_28</vt:lpstr>
      <vt:lpstr>_vena_CapSIS_B1_C_FV_6053e8fe227041fcbe8015c4f16779fe_29</vt:lpstr>
      <vt:lpstr>_vena_CapSIS_B1_C_FV_6053e8fe227041fcbe8015c4f16779fe_30</vt:lpstr>
      <vt:lpstr>_vena_CapSIS_B1_C_FV_6053e8fe227041fcbe8015c4f16779fe_31</vt:lpstr>
      <vt:lpstr>_vena_CapSIS_B1_C_FV_6053e8fe227041fcbe8015c4f16779fe_32</vt:lpstr>
      <vt:lpstr>_vena_CapSIS_B1_C_FV_6053e8fe227041fcbe8015c4f16779fe_33</vt:lpstr>
      <vt:lpstr>_vena_CapSIS_B1_C_FV_6053e8fe227041fcbe8015c4f16779fe_34</vt:lpstr>
      <vt:lpstr>_vena_CapSIS_B1_C_FV_6053e8fe227041fcbe8015c4f16779fe_35</vt:lpstr>
      <vt:lpstr>_vena_CapSIS_B1_C_FV_6053e8fe227041fcbe8015c4f16779fe_36</vt:lpstr>
      <vt:lpstr>_vena_CapSIS_B1_C_FV_6053e8fe227041fcbe8015c4f16779fe_37</vt:lpstr>
      <vt:lpstr>_vena_CapSIS_B1_C_FV_6053e8fe227041fcbe8015c4f16779fe_38</vt:lpstr>
      <vt:lpstr>_vena_CapSIS_B1_C_FV_6053e8fe227041fcbe8015c4f16779fe_39</vt:lpstr>
      <vt:lpstr>_vena_CapSIS_B1_C_FV_6053e8fe227041fcbe8015c4f16779fe_40</vt:lpstr>
      <vt:lpstr>_vena_CapSIS_B1_C_FV_6053e8fe227041fcbe8015c4f16779fe_41</vt:lpstr>
      <vt:lpstr>_vena_CapSIS_B1_C_FV_6053e8fe227041fcbe8015c4f16779fe_42</vt:lpstr>
      <vt:lpstr>_vena_CapSIS_B1_C_FV_6053e8fe227041fcbe8015c4f16779fe_43</vt:lpstr>
      <vt:lpstr>_vena_CapSIS_B1_C_FV_6053e8fe227041fcbe8015c4f16779fe_44</vt:lpstr>
      <vt:lpstr>_vena_CapSIS_B1_C_FV_6053e8fe227041fcbe8015c4f16779fe_45</vt:lpstr>
      <vt:lpstr>_vena_CapSIS_B1_C_FV_6053e8fe227041fcbe8015c4f16779fe_46</vt:lpstr>
      <vt:lpstr>_vena_CapSIS_B1_C_FV_6053e8fe227041fcbe8015c4f16779fe_47</vt:lpstr>
      <vt:lpstr>_vena_CapSIS_B1_C_FV_6053e8fe227041fcbe8015c4f16779fe_48</vt:lpstr>
      <vt:lpstr>_vena_CapSIS_B1_C_FV_6053e8fe227041fcbe8015c4f16779fe_49</vt:lpstr>
      <vt:lpstr>_vena_CapSIS_B1_C_FV_6053e8fe227041fcbe8015c4f16779fe_5</vt:lpstr>
      <vt:lpstr>_vena_CapSIS_B1_C_FV_6053e8fe227041fcbe8015c4f16779fe_50</vt:lpstr>
      <vt:lpstr>_vena_CapSIS_B1_C_FV_6053e8fe227041fcbe8015c4f16779fe_51</vt:lpstr>
      <vt:lpstr>_vena_CapSIS_B1_C_FV_6053e8fe227041fcbe8015c4f16779fe_52</vt:lpstr>
      <vt:lpstr>_vena_CapSIS_B1_C_FV_6053e8fe227041fcbe8015c4f16779fe_53</vt:lpstr>
      <vt:lpstr>_vena_CapSIS_B1_C_FV_6053e8fe227041fcbe8015c4f16779fe_6</vt:lpstr>
      <vt:lpstr>_vena_CapSIS_B1_C_FV_6053e8fe227041fcbe8015c4f16779fe_7</vt:lpstr>
      <vt:lpstr>_vena_CapSIS_B1_C_FV_6053e8fe227041fcbe8015c4f16779fe_8</vt:lpstr>
      <vt:lpstr>_vena_CapSIS_B1_C_FV_6053e8fe227041fcbe8015c4f16779fe_9</vt:lpstr>
      <vt:lpstr>_vena_CapSIS_B1_R_6_230844512380125185</vt:lpstr>
      <vt:lpstr>_vena_CapSIS_B1_R_6_230844512384319489</vt:lpstr>
      <vt:lpstr>_vena_CapSIS_B1_R_6_230844512392708096</vt:lpstr>
      <vt:lpstr>_vena_CapSIS_B1_R_6_230844513344815105</vt:lpstr>
      <vt:lpstr>_vena_CapSIS_B1_R_6_230844513944600577</vt:lpstr>
      <vt:lpstr>_vena_CapSIS_B1_R_6_230844513952989185</vt:lpstr>
      <vt:lpstr>_vena_CapSIS_B1_R_6_230844515102228481</vt:lpstr>
      <vt:lpstr>_vena_CapSIS_B1_R_6_230844515106422785</vt:lpstr>
      <vt:lpstr>_vena_CapSIS_B1_R_6_230844515110617089</vt:lpstr>
      <vt:lpstr>_vena_CapSIS_B1_R_6_248210771032539137</vt:lpstr>
      <vt:lpstr>_vena_CapSIS_B1_R_6_248210771053510656</vt:lpstr>
      <vt:lpstr>_vena_CapSIS_B1_R_6_248210771066093569</vt:lpstr>
      <vt:lpstr>_vena_CapSIS_B1_R_6_248210771070287882</vt:lpstr>
      <vt:lpstr>_vena_CapSIS_B1_R_6_248210771074482177</vt:lpstr>
      <vt:lpstr>_vena_CapSIS_B1_R_6_248210771082870785</vt:lpstr>
      <vt:lpstr>_vena_CapSIS_B1_R_6_266748583985152000</vt:lpstr>
      <vt:lpstr>_vena_CapSIS_B1_R_6_266756787259179008</vt:lpstr>
      <vt:lpstr>_vena_CapSIS_B1_R_9_273913475468623872</vt:lpstr>
      <vt:lpstr>_vena_CapSIS_B1_R_9_273913475468623872_1</vt:lpstr>
      <vt:lpstr>_vena_CapSIS_B1_R_9_273913475468623872_10</vt:lpstr>
      <vt:lpstr>_vena_CapSIS_B1_R_9_273913475468623872_11</vt:lpstr>
      <vt:lpstr>_vena_CapSIS_B1_R_9_273913475468623872_12</vt:lpstr>
      <vt:lpstr>_vena_CapSIS_B1_R_9_273913475468623872_13</vt:lpstr>
      <vt:lpstr>_vena_CapSIS_B1_R_9_273913475468623872_14</vt:lpstr>
      <vt:lpstr>_vena_CapSIS_B1_R_9_273913475468623872_15</vt:lpstr>
      <vt:lpstr>_vena_CapSIS_B1_R_9_273913475468623872_16</vt:lpstr>
      <vt:lpstr>_vena_CapSIS_B1_R_9_273913475468623872_2</vt:lpstr>
      <vt:lpstr>_vena_CapSIS_B1_R_9_273913475468623872_3</vt:lpstr>
      <vt:lpstr>_vena_CapSIS_B1_R_9_273913475468623872_4</vt:lpstr>
      <vt:lpstr>_vena_CapSIS_B1_R_9_273913475468623872_5</vt:lpstr>
      <vt:lpstr>_vena_CapSIS_B1_R_9_273913475468623872_6</vt:lpstr>
      <vt:lpstr>_vena_CapSIS_B1_R_9_273913475468623872_7</vt:lpstr>
      <vt:lpstr>_vena_CapSIS_B1_R_9_273913475468623872_8</vt:lpstr>
      <vt:lpstr>_vena_CapSIS_B1_R_9_273913475468623872_9</vt:lpstr>
      <vt:lpstr>_vena_CapSIS_B2_C_1_230858509795983360</vt:lpstr>
      <vt:lpstr>_vena_CapSIS_B2_C_1_230858525113581568</vt:lpstr>
      <vt:lpstr>_vena_CapSIS_B2_C_1_230858539172888576</vt:lpstr>
      <vt:lpstr>_vena_CapSIS_B2_C_1_230858563583737856</vt:lpstr>
      <vt:lpstr>_vena_CapSIS_B2_C_1_230858841607110656</vt:lpstr>
      <vt:lpstr>_vena_CapSIS_B2_C_1_230858841607110656_1</vt:lpstr>
      <vt:lpstr>_vena_CapSIS_B2_C_1_230858841607110656_2</vt:lpstr>
      <vt:lpstr>_vena_CapSIS_B2_C_1_230858841607110656_3</vt:lpstr>
      <vt:lpstr>_vena_CapSIS_B2_C_1_230858841607110656_4</vt:lpstr>
      <vt:lpstr>_vena_CapSIS_B2_C_1_230858864537370624</vt:lpstr>
      <vt:lpstr>_vena_CapSIS_B2_C_1_230858864537370624_1</vt:lpstr>
      <vt:lpstr>_vena_CapSIS_B2_C_1_230858864537370624_2</vt:lpstr>
      <vt:lpstr>_vena_CapSIS_B2_C_1_230858864537370624_3</vt:lpstr>
      <vt:lpstr>_vena_CapSIS_B2_C_1_230858864537370624_4</vt:lpstr>
      <vt:lpstr>_vena_CapSIS_B2_C_1_230858883713728512</vt:lpstr>
      <vt:lpstr>_vena_CapSIS_B2_C_1_230858883713728512_1</vt:lpstr>
      <vt:lpstr>_vena_CapSIS_B2_C_1_230858883713728512_2</vt:lpstr>
      <vt:lpstr>_vena_CapSIS_B2_C_1_230858883713728512_3</vt:lpstr>
      <vt:lpstr>_vena_CapSIS_B2_C_1_230858883713728512_4</vt:lpstr>
      <vt:lpstr>_vena_CapSIS_B2_C_1_230858941431545856</vt:lpstr>
      <vt:lpstr>_vena_CapSIS_B2_C_1_230858941431545856_1</vt:lpstr>
      <vt:lpstr>_vena_CapSIS_B2_C_1_230858941431545856_2</vt:lpstr>
      <vt:lpstr>_vena_CapSIS_B2_C_1_230858941431545856_3</vt:lpstr>
      <vt:lpstr>_vena_CapSIS_B2_C_1_230858941431545856_4</vt:lpstr>
      <vt:lpstr>_vena_CapSIS_B2_C_1_230859049971744768</vt:lpstr>
      <vt:lpstr>_vena_CapSIS_B2_C_1_230859049971744768_1</vt:lpstr>
      <vt:lpstr>_vena_CapSIS_B2_C_1_230859049971744768_2</vt:lpstr>
      <vt:lpstr>_vena_CapSIS_B2_C_1_230859049971744768_3</vt:lpstr>
      <vt:lpstr>_vena_CapSIS_B2_C_1_230859049971744768_4</vt:lpstr>
      <vt:lpstr>_vena_CapSIS_B2_C_1_230859064827969536</vt:lpstr>
      <vt:lpstr>_vena_CapSIS_B2_C_1_230859064827969536_1</vt:lpstr>
      <vt:lpstr>_vena_CapSIS_B2_C_1_230859064827969536_2</vt:lpstr>
      <vt:lpstr>_vena_CapSIS_B2_C_1_230859064827969536_3</vt:lpstr>
      <vt:lpstr>_vena_CapSIS_B2_C_1_230859064827969536_4</vt:lpstr>
      <vt:lpstr>_vena_CapSIS_B2_C_1_230859078451068928</vt:lpstr>
      <vt:lpstr>_vena_CapSIS_B2_C_1_230859078451068928_1</vt:lpstr>
      <vt:lpstr>_vena_CapSIS_B2_C_1_230859078451068928_2</vt:lpstr>
      <vt:lpstr>_vena_CapSIS_B2_C_1_230859078451068928_3</vt:lpstr>
      <vt:lpstr>_vena_CapSIS_B2_C_1_230859078451068928_4</vt:lpstr>
      <vt:lpstr>_vena_CapSIS_B2_C_1_230859093835776000</vt:lpstr>
      <vt:lpstr>_vena_CapSIS_B2_C_1_230859093835776000_1</vt:lpstr>
      <vt:lpstr>_vena_CapSIS_B2_C_1_230859093835776000_2</vt:lpstr>
      <vt:lpstr>_vena_CapSIS_B2_C_1_230859093835776000_3</vt:lpstr>
      <vt:lpstr>_vena_CapSIS_B2_C_1_230859093835776000_4</vt:lpstr>
      <vt:lpstr>_vena_CapSIS_B2_C_1_248550486083371008</vt:lpstr>
      <vt:lpstr>_vena_CapSIS_B2_C_1_248550486083371008_1</vt:lpstr>
      <vt:lpstr>_vena_CapSIS_B2_C_1_248550486083371008_2</vt:lpstr>
      <vt:lpstr>_vena_CapSIS_B2_C_1_248550486083371008_3</vt:lpstr>
      <vt:lpstr>_vena_CapSIS_B2_C_1_248550486083371008_4</vt:lpstr>
      <vt:lpstr>_vena_CapSIS_B2_C_2_230860126356111360</vt:lpstr>
      <vt:lpstr>_vena_CapSIS_B2_C_2_230860226616754176</vt:lpstr>
      <vt:lpstr>_vena_CapSIS_B2_C_2_230860226616754176_1</vt:lpstr>
      <vt:lpstr>_vena_CapSIS_B2_C_2_230860226616754176_2</vt:lpstr>
      <vt:lpstr>_vena_CapSIS_B2_C_2_230860226616754176_3</vt:lpstr>
      <vt:lpstr>_vena_CapSIS_B2_C_2_230860226616754176_4</vt:lpstr>
      <vt:lpstr>_vena_CapSIS_B2_C_2_230860237857488896</vt:lpstr>
      <vt:lpstr>_vena_CapSIS_B2_C_2_230860237857488896_1</vt:lpstr>
      <vt:lpstr>_vena_CapSIS_B2_C_2_230860237857488896_2</vt:lpstr>
      <vt:lpstr>_vena_CapSIS_B2_C_2_230860237857488896_3</vt:lpstr>
      <vt:lpstr>_vena_CapSIS_B2_C_2_230860237857488896_4</vt:lpstr>
      <vt:lpstr>_vena_CapSIS_B2_C_2_230860246497755136</vt:lpstr>
      <vt:lpstr>_vena_CapSIS_B2_C_2_230860246497755136_1</vt:lpstr>
      <vt:lpstr>_vena_CapSIS_B2_C_2_230860246497755136_2</vt:lpstr>
      <vt:lpstr>_vena_CapSIS_B2_C_2_230860246497755136_3</vt:lpstr>
      <vt:lpstr>_vena_CapSIS_B2_C_2_230860246497755136_4</vt:lpstr>
      <vt:lpstr>_vena_CapSIS_B2_C_2_230860256148848640</vt:lpstr>
      <vt:lpstr>_vena_CapSIS_B2_C_2_230860256148848640_1</vt:lpstr>
      <vt:lpstr>_vena_CapSIS_B2_C_2_230860256148848640_2</vt:lpstr>
      <vt:lpstr>_vena_CapSIS_B2_C_2_230860256148848640_3</vt:lpstr>
      <vt:lpstr>_vena_CapSIS_B2_C_2_230860256148848640_4</vt:lpstr>
      <vt:lpstr>_vena_CapSIS_B2_C_2_230860293570428928</vt:lpstr>
      <vt:lpstr>_vena_CapSIS_B2_C_2_230860293570428928_1</vt:lpstr>
      <vt:lpstr>_vena_CapSIS_B2_C_2_230860293570428928_2</vt:lpstr>
      <vt:lpstr>_vena_CapSIS_B2_C_2_230860293570428928_3</vt:lpstr>
      <vt:lpstr>_vena_CapSIS_B2_C_2_230860293570428928_4</vt:lpstr>
      <vt:lpstr>_vena_CapSIS_B2_C_2_230860306308530176</vt:lpstr>
      <vt:lpstr>_vena_CapSIS_B2_C_2_230860306308530176_1</vt:lpstr>
      <vt:lpstr>_vena_CapSIS_B2_C_2_230860306308530176_2</vt:lpstr>
      <vt:lpstr>_vena_CapSIS_B2_C_2_230860306308530176_3</vt:lpstr>
      <vt:lpstr>_vena_CapSIS_B2_C_2_230860306308530176_4</vt:lpstr>
      <vt:lpstr>_vena_CapSIS_B2_C_2_230860320749518848</vt:lpstr>
      <vt:lpstr>_vena_CapSIS_B2_C_2_230860320749518848_1</vt:lpstr>
      <vt:lpstr>_vena_CapSIS_B2_C_2_230860320749518848_2</vt:lpstr>
      <vt:lpstr>_vena_CapSIS_B2_C_2_230860320749518848_3</vt:lpstr>
      <vt:lpstr>_vena_CapSIS_B2_C_2_230860320749518848_4</vt:lpstr>
      <vt:lpstr>_vena_CapSIS_B2_C_2_230860332363546624</vt:lpstr>
      <vt:lpstr>_vena_CapSIS_B2_C_2_230860332363546624_1</vt:lpstr>
      <vt:lpstr>_vena_CapSIS_B2_C_2_230860332363546624_2</vt:lpstr>
      <vt:lpstr>_vena_CapSIS_B2_C_2_230860332363546624_3</vt:lpstr>
      <vt:lpstr>_vena_CapSIS_B2_C_2_230860332363546624_4</vt:lpstr>
      <vt:lpstr>_vena_CapSIS_B2_C_2_230860342882861056</vt:lpstr>
      <vt:lpstr>_vena_CapSIS_B2_C_2_230860342882861056_1</vt:lpstr>
      <vt:lpstr>_vena_CapSIS_B2_C_2_230860342882861056_2</vt:lpstr>
      <vt:lpstr>_vena_CapSIS_B2_C_2_230860342882861056_3</vt:lpstr>
      <vt:lpstr>_vena_CapSIS_B2_C_2_230860342882861056_4</vt:lpstr>
      <vt:lpstr>_vena_CapSIS_B2_C_2_248614950019268608</vt:lpstr>
      <vt:lpstr>_vena_CapSIS_B2_C_2_248614950019268608_1</vt:lpstr>
      <vt:lpstr>_vena_CapSIS_B2_C_2_248614950019268608_2</vt:lpstr>
      <vt:lpstr>_vena_CapSIS_B2_C_3_230860830692999168</vt:lpstr>
      <vt:lpstr>_vena_CapSIS_B2_C_3_230860830692999168_1</vt:lpstr>
      <vt:lpstr>_vena_CapSIS_B2_C_3_230860830692999168_10</vt:lpstr>
      <vt:lpstr>_vena_CapSIS_B2_C_3_230860830692999168_11</vt:lpstr>
      <vt:lpstr>_vena_CapSIS_B2_C_3_230860830692999168_12</vt:lpstr>
      <vt:lpstr>_vena_CapSIS_B2_C_3_230860830692999168_13</vt:lpstr>
      <vt:lpstr>_vena_CapSIS_B2_C_3_230860830692999168_14</vt:lpstr>
      <vt:lpstr>_vena_CapSIS_B2_C_3_230860830692999168_15</vt:lpstr>
      <vt:lpstr>_vena_CapSIS_B2_C_3_230860830692999168_16</vt:lpstr>
      <vt:lpstr>_vena_CapSIS_B2_C_3_230860830692999168_17</vt:lpstr>
      <vt:lpstr>_vena_CapSIS_B2_C_3_230860830692999168_18</vt:lpstr>
      <vt:lpstr>_vena_CapSIS_B2_C_3_230860830692999168_19</vt:lpstr>
      <vt:lpstr>_vena_CapSIS_B2_C_3_230860830692999168_2</vt:lpstr>
      <vt:lpstr>_vena_CapSIS_B2_C_3_230860830692999168_20</vt:lpstr>
      <vt:lpstr>_vena_CapSIS_B2_C_3_230860830692999168_21</vt:lpstr>
      <vt:lpstr>_vena_CapSIS_B2_C_3_230860830692999168_22</vt:lpstr>
      <vt:lpstr>_vena_CapSIS_B2_C_3_230860830692999168_23</vt:lpstr>
      <vt:lpstr>_vena_CapSIS_B2_C_3_230860830692999168_24</vt:lpstr>
      <vt:lpstr>_vena_CapSIS_B2_C_3_230860830692999168_25</vt:lpstr>
      <vt:lpstr>_vena_CapSIS_B2_C_3_230860830692999168_26</vt:lpstr>
      <vt:lpstr>_vena_CapSIS_B2_C_3_230860830692999168_27</vt:lpstr>
      <vt:lpstr>_vena_CapSIS_B2_C_3_230860830692999168_28</vt:lpstr>
      <vt:lpstr>_vena_CapSIS_B2_C_3_230860830692999168_29</vt:lpstr>
      <vt:lpstr>_vena_CapSIS_B2_C_3_230860830692999168_3</vt:lpstr>
      <vt:lpstr>_vena_CapSIS_B2_C_3_230860830692999168_30</vt:lpstr>
      <vt:lpstr>_vena_CapSIS_B2_C_3_230860830692999168_31</vt:lpstr>
      <vt:lpstr>_vena_CapSIS_B2_C_3_230860830692999168_32</vt:lpstr>
      <vt:lpstr>_vena_CapSIS_B2_C_3_230860830692999168_33</vt:lpstr>
      <vt:lpstr>_vena_CapSIS_B2_C_3_230860830692999168_34</vt:lpstr>
      <vt:lpstr>_vena_CapSIS_B2_C_3_230860830692999168_35</vt:lpstr>
      <vt:lpstr>_vena_CapSIS_B2_C_3_230860830692999168_36</vt:lpstr>
      <vt:lpstr>_vena_CapSIS_B2_C_3_230860830692999168_37</vt:lpstr>
      <vt:lpstr>_vena_CapSIS_B2_C_3_230860830692999168_38</vt:lpstr>
      <vt:lpstr>_vena_CapSIS_B2_C_3_230860830692999168_39</vt:lpstr>
      <vt:lpstr>_vena_CapSIS_B2_C_3_230860830692999168_4</vt:lpstr>
      <vt:lpstr>_vena_CapSIS_B2_C_3_230860830692999168_40</vt:lpstr>
      <vt:lpstr>_vena_CapSIS_B2_C_3_230860830692999168_41</vt:lpstr>
      <vt:lpstr>_vena_CapSIS_B2_C_3_230860830692999168_42</vt:lpstr>
      <vt:lpstr>_vena_CapSIS_B2_C_3_230860830692999168_43</vt:lpstr>
      <vt:lpstr>_vena_CapSIS_B2_C_3_230860830692999168_44</vt:lpstr>
      <vt:lpstr>_vena_CapSIS_B2_C_3_230860830692999168_45</vt:lpstr>
      <vt:lpstr>_vena_CapSIS_B2_C_3_230860830692999168_5</vt:lpstr>
      <vt:lpstr>_vena_CapSIS_B2_C_3_230860830692999168_6</vt:lpstr>
      <vt:lpstr>_vena_CapSIS_B2_C_3_230860830692999168_7</vt:lpstr>
      <vt:lpstr>_vena_CapSIS_B2_C_3_230860830692999168_8</vt:lpstr>
      <vt:lpstr>_vena_CapSIS_B2_C_3_230860830692999168_9</vt:lpstr>
      <vt:lpstr>_vena_CapSIS_B2_C_3_230860959693012992</vt:lpstr>
      <vt:lpstr>_vena_CapSIS_B2_C_3_230860959693012992_1</vt:lpstr>
      <vt:lpstr>_vena_CapSIS_B2_C_3_230860959693012992_2</vt:lpstr>
      <vt:lpstr>_vena_CapSIS_B2_C_4_230862887281885184</vt:lpstr>
      <vt:lpstr>_vena_CapSIS_B2_C_4_230862887281885184_1</vt:lpstr>
      <vt:lpstr>_vena_CapSIS_B2_C_4_230862887281885184_2</vt:lpstr>
      <vt:lpstr>_vena_CapSIS_B2_C_4_230862887281885184_3</vt:lpstr>
      <vt:lpstr>_vena_CapSIS_B2_C_4_230862887281885184_4</vt:lpstr>
      <vt:lpstr>_vena_CapSIS_B2_C_4_230862887281885184_5</vt:lpstr>
      <vt:lpstr>_vena_CapSIS_B2_C_4_230862887281885184_6</vt:lpstr>
      <vt:lpstr>_vena_CapSIS_B2_C_4_230862887281885184_7</vt:lpstr>
      <vt:lpstr>_vena_CapSIS_B2_C_4_230862887281885184_8</vt:lpstr>
      <vt:lpstr>_vena_CapSIS_B2_C_4_230862937282183168</vt:lpstr>
      <vt:lpstr>_vena_CapSIS_B2_C_4_230862937282183168_1</vt:lpstr>
      <vt:lpstr>_vena_CapSIS_B2_C_4_230862937282183168_2</vt:lpstr>
      <vt:lpstr>_vena_CapSIS_B2_C_4_230862937282183168_3</vt:lpstr>
      <vt:lpstr>_vena_CapSIS_B2_C_4_230862937282183168_4</vt:lpstr>
      <vt:lpstr>_vena_CapSIS_B2_C_4_230862937282183168_5</vt:lpstr>
      <vt:lpstr>_vena_CapSIS_B2_C_4_230862937282183168_6</vt:lpstr>
      <vt:lpstr>_vena_CapSIS_B2_C_4_230862937282183168_7</vt:lpstr>
      <vt:lpstr>_vena_CapSIS_B2_C_4_230862937282183168_8</vt:lpstr>
      <vt:lpstr>_vena_CapSIS_B2_C_4_230862963278479360</vt:lpstr>
      <vt:lpstr>_vena_CapSIS_B2_C_4_230862963278479360_1</vt:lpstr>
      <vt:lpstr>_vena_CapSIS_B2_C_4_230862963278479360_2</vt:lpstr>
      <vt:lpstr>_vena_CapSIS_B2_C_4_230862963278479360_3</vt:lpstr>
      <vt:lpstr>_vena_CapSIS_B2_C_4_230862963278479360_4</vt:lpstr>
      <vt:lpstr>_vena_CapSIS_B2_C_4_230862963278479360_5</vt:lpstr>
      <vt:lpstr>_vena_CapSIS_B2_C_4_230862963278479360_6</vt:lpstr>
      <vt:lpstr>_vena_CapSIS_B2_C_4_230862963278479360_7</vt:lpstr>
      <vt:lpstr>_vena_CapSIS_B2_C_4_230862963278479360_8</vt:lpstr>
      <vt:lpstr>_vena_CapSIS_B2_C_4_230863001366953984</vt:lpstr>
      <vt:lpstr>_vena_CapSIS_B2_C_4_230863001366953984_1</vt:lpstr>
      <vt:lpstr>_vena_CapSIS_B2_C_4_230863001366953984_2</vt:lpstr>
      <vt:lpstr>_vena_CapSIS_B2_C_4_230863001366953984_3</vt:lpstr>
      <vt:lpstr>_vena_CapSIS_B2_C_4_230863001366953984_4</vt:lpstr>
      <vt:lpstr>_vena_CapSIS_B2_C_4_230863001366953984_5</vt:lpstr>
      <vt:lpstr>_vena_CapSIS_B2_C_4_230863001366953984_6</vt:lpstr>
      <vt:lpstr>_vena_CapSIS_B2_C_4_230863001366953984_7</vt:lpstr>
      <vt:lpstr>_vena_CapSIS_B2_C_4_230863001366953984_8</vt:lpstr>
      <vt:lpstr>_vena_CapSIS_B2_C_4_230863046111789056</vt:lpstr>
      <vt:lpstr>_vena_CapSIS_B2_C_4_230863046111789056_1</vt:lpstr>
      <vt:lpstr>_vena_CapSIS_B2_C_4_230863046111789056_2</vt:lpstr>
      <vt:lpstr>_vena_CapSIS_B2_C_4_230863046111789056_3</vt:lpstr>
      <vt:lpstr>_vena_CapSIS_B2_C_4_230863046111789056_4</vt:lpstr>
      <vt:lpstr>_vena_CapSIS_B2_C_4_230863046111789056_5</vt:lpstr>
      <vt:lpstr>_vena_CapSIS_B2_C_4_230863046111789056_6</vt:lpstr>
      <vt:lpstr>_vena_CapSIS_B2_C_4_230863046111789056_7</vt:lpstr>
      <vt:lpstr>_vena_CapSIS_B2_C_4_230863046111789056_8</vt:lpstr>
      <vt:lpstr>_vena_CapSIS_B2_C_4_230863071093063680</vt:lpstr>
      <vt:lpstr>_vena_CapSIS_B2_C_4_230863071093063680_1</vt:lpstr>
      <vt:lpstr>_vena_CapSIS_B2_C_4_230863071093063680_2</vt:lpstr>
      <vt:lpstr>_vena_CapSIS_B2_C_4_230863071093063680_3</vt:lpstr>
      <vt:lpstr>_vena_CapSIS_B2_C_FV_6053e8fe227041fcbe8015c4f16779fe</vt:lpstr>
      <vt:lpstr>_vena_CapSIS_B2_C_FV_6053e8fe227041fcbe8015c4f16779fe_1</vt:lpstr>
      <vt:lpstr>_vena_CapSIS_B2_C_FV_6053e8fe227041fcbe8015c4f16779fe_10</vt:lpstr>
      <vt:lpstr>_vena_CapSIS_B2_C_FV_6053e8fe227041fcbe8015c4f16779fe_11</vt:lpstr>
      <vt:lpstr>_vena_CapSIS_B2_C_FV_6053e8fe227041fcbe8015c4f16779fe_12</vt:lpstr>
      <vt:lpstr>_vena_CapSIS_B2_C_FV_6053e8fe227041fcbe8015c4f16779fe_13</vt:lpstr>
      <vt:lpstr>_vena_CapSIS_B2_C_FV_6053e8fe227041fcbe8015c4f16779fe_14</vt:lpstr>
      <vt:lpstr>_vena_CapSIS_B2_C_FV_6053e8fe227041fcbe8015c4f16779fe_15</vt:lpstr>
      <vt:lpstr>_vena_CapSIS_B2_C_FV_6053e8fe227041fcbe8015c4f16779fe_16</vt:lpstr>
      <vt:lpstr>_vena_CapSIS_B2_C_FV_6053e8fe227041fcbe8015c4f16779fe_17</vt:lpstr>
      <vt:lpstr>_vena_CapSIS_B2_C_FV_6053e8fe227041fcbe8015c4f16779fe_18</vt:lpstr>
      <vt:lpstr>_vena_CapSIS_B2_C_FV_6053e8fe227041fcbe8015c4f16779fe_19</vt:lpstr>
      <vt:lpstr>_vena_CapSIS_B2_C_FV_6053e8fe227041fcbe8015c4f16779fe_2</vt:lpstr>
      <vt:lpstr>_vena_CapSIS_B2_C_FV_6053e8fe227041fcbe8015c4f16779fe_20</vt:lpstr>
      <vt:lpstr>_vena_CapSIS_B2_C_FV_6053e8fe227041fcbe8015c4f16779fe_21</vt:lpstr>
      <vt:lpstr>_vena_CapSIS_B2_C_FV_6053e8fe227041fcbe8015c4f16779fe_22</vt:lpstr>
      <vt:lpstr>_vena_CapSIS_B2_C_FV_6053e8fe227041fcbe8015c4f16779fe_23</vt:lpstr>
      <vt:lpstr>_vena_CapSIS_B2_C_FV_6053e8fe227041fcbe8015c4f16779fe_24</vt:lpstr>
      <vt:lpstr>_vena_CapSIS_B2_C_FV_6053e8fe227041fcbe8015c4f16779fe_25</vt:lpstr>
      <vt:lpstr>_vena_CapSIS_B2_C_FV_6053e8fe227041fcbe8015c4f16779fe_26</vt:lpstr>
      <vt:lpstr>_vena_CapSIS_B2_C_FV_6053e8fe227041fcbe8015c4f16779fe_27</vt:lpstr>
      <vt:lpstr>_vena_CapSIS_B2_C_FV_6053e8fe227041fcbe8015c4f16779fe_28</vt:lpstr>
      <vt:lpstr>_vena_CapSIS_B2_C_FV_6053e8fe227041fcbe8015c4f16779fe_29</vt:lpstr>
      <vt:lpstr>_vena_CapSIS_B2_C_FV_6053e8fe227041fcbe8015c4f16779fe_3</vt:lpstr>
      <vt:lpstr>_vena_CapSIS_B2_C_FV_6053e8fe227041fcbe8015c4f16779fe_30</vt:lpstr>
      <vt:lpstr>_vena_CapSIS_B2_C_FV_6053e8fe227041fcbe8015c4f16779fe_31</vt:lpstr>
      <vt:lpstr>_vena_CapSIS_B2_C_FV_6053e8fe227041fcbe8015c4f16779fe_32</vt:lpstr>
      <vt:lpstr>_vena_CapSIS_B2_C_FV_6053e8fe227041fcbe8015c4f16779fe_33</vt:lpstr>
      <vt:lpstr>_vena_CapSIS_B2_C_FV_6053e8fe227041fcbe8015c4f16779fe_34</vt:lpstr>
      <vt:lpstr>_vena_CapSIS_B2_C_FV_6053e8fe227041fcbe8015c4f16779fe_35</vt:lpstr>
      <vt:lpstr>_vena_CapSIS_B2_C_FV_6053e8fe227041fcbe8015c4f16779fe_36</vt:lpstr>
      <vt:lpstr>_vena_CapSIS_B2_C_FV_6053e8fe227041fcbe8015c4f16779fe_37</vt:lpstr>
      <vt:lpstr>_vena_CapSIS_B2_C_FV_6053e8fe227041fcbe8015c4f16779fe_38</vt:lpstr>
      <vt:lpstr>_vena_CapSIS_B2_C_FV_6053e8fe227041fcbe8015c4f16779fe_39</vt:lpstr>
      <vt:lpstr>_vena_CapSIS_B2_C_FV_6053e8fe227041fcbe8015c4f16779fe_4</vt:lpstr>
      <vt:lpstr>_vena_CapSIS_B2_C_FV_6053e8fe227041fcbe8015c4f16779fe_40</vt:lpstr>
      <vt:lpstr>_vena_CapSIS_B2_C_FV_6053e8fe227041fcbe8015c4f16779fe_41</vt:lpstr>
      <vt:lpstr>_vena_CapSIS_B2_C_FV_6053e8fe227041fcbe8015c4f16779fe_42</vt:lpstr>
      <vt:lpstr>_vena_CapSIS_B2_C_FV_6053e8fe227041fcbe8015c4f16779fe_43</vt:lpstr>
      <vt:lpstr>_vena_CapSIS_B2_C_FV_6053e8fe227041fcbe8015c4f16779fe_44</vt:lpstr>
      <vt:lpstr>_vena_CapSIS_B2_C_FV_6053e8fe227041fcbe8015c4f16779fe_45</vt:lpstr>
      <vt:lpstr>_vena_CapSIS_B2_C_FV_6053e8fe227041fcbe8015c4f16779fe_46</vt:lpstr>
      <vt:lpstr>_vena_CapSIS_B2_C_FV_6053e8fe227041fcbe8015c4f16779fe_47</vt:lpstr>
      <vt:lpstr>_vena_CapSIS_B2_C_FV_6053e8fe227041fcbe8015c4f16779fe_48</vt:lpstr>
      <vt:lpstr>_vena_CapSIS_B2_C_FV_6053e8fe227041fcbe8015c4f16779fe_5</vt:lpstr>
      <vt:lpstr>_vena_CapSIS_B2_C_FV_6053e8fe227041fcbe8015c4f16779fe_6</vt:lpstr>
      <vt:lpstr>_vena_CapSIS_B2_C_FV_6053e8fe227041fcbe8015c4f16779fe_7</vt:lpstr>
      <vt:lpstr>_vena_CapSIS_B2_C_FV_6053e8fe227041fcbe8015c4f16779fe_8</vt:lpstr>
      <vt:lpstr>_vena_CapSIS_B2_C_FV_6053e8fe227041fcbe8015c4f16779fe_9</vt:lpstr>
      <vt:lpstr>_vena_CapSIS_B2_R_6_248210771212894209</vt:lpstr>
      <vt:lpstr>_vena_CapSIS_B2_R_6_248210771221282817</vt:lpstr>
      <vt:lpstr>_vena_CapSIS_B2_R_6_248210771225477121</vt:lpstr>
      <vt:lpstr>_vena_CapSIS_B2_R_6_248210771229671425</vt:lpstr>
      <vt:lpstr>_vena_CapSIS_B2_R_6_248210771242254337</vt:lpstr>
      <vt:lpstr>_vena_CapSIS_B2_R_6_248210771246448641</vt:lpstr>
      <vt:lpstr>_vena_CapSIS_B2_R_6_248210771250642945</vt:lpstr>
      <vt:lpstr>_vena_CapSIS_B2_R_6_248210771254837249</vt:lpstr>
      <vt:lpstr>_vena_CapSIS_B2_R_6_248210771259031553</vt:lpstr>
      <vt:lpstr>_vena_CapSIS_B2_R_6_248210771267420161</vt:lpstr>
      <vt:lpstr>_vena_CapSIS_B2_R_6_248210771271614465</vt:lpstr>
      <vt:lpstr>_vena_CapSIS_B2_R_6_248210771275808769</vt:lpstr>
      <vt:lpstr>_vena_CapSIS_B2_R_6_248210771280003073</vt:lpstr>
      <vt:lpstr>_vena_CapSIS_B2_R_6_248210771288391681</vt:lpstr>
      <vt:lpstr>_vena_CapSIS_B2_R_6_248210771292585985</vt:lpstr>
      <vt:lpstr>_vena_CapSIS_B2_R_6_248210771296780289</vt:lpstr>
      <vt:lpstr>_vena_CapSIS_B2_R_6_248210771305168897</vt:lpstr>
      <vt:lpstr>_vena_CapSIS_B2_R_6_248210771305168897_1</vt:lpstr>
      <vt:lpstr>_vena_CapSIS_B2_R_6_248210771313557505</vt:lpstr>
      <vt:lpstr>_vena_CapSIS_B2_R_6_248210771313557505_1</vt:lpstr>
      <vt:lpstr>_vena_CapSIS_B2_R_6_248210771317751809</vt:lpstr>
      <vt:lpstr>_vena_CapSIS_B2_R_6_248210771317751809_1</vt:lpstr>
      <vt:lpstr>_vena_CapSIS_B2_R_6_248210771321946113</vt:lpstr>
      <vt:lpstr>_vena_CapSIS_B2_R_6_248210771326140417</vt:lpstr>
      <vt:lpstr>_vena_CapSIS_B2_R_6_248210771342917633</vt:lpstr>
      <vt:lpstr>_vena_CapSIS_B2_R_6_248210771347111937</vt:lpstr>
      <vt:lpstr>_vena_CapSIS_B2_R_6_248210771351306241</vt:lpstr>
      <vt:lpstr>_vena_CapSIS_B2_R_6_248210771363889153</vt:lpstr>
      <vt:lpstr>_vena_CapSIS_B2_R_6_248210771376472065</vt:lpstr>
      <vt:lpstr>_vena_CapSIS_B2_R_6_248210771380666369</vt:lpstr>
      <vt:lpstr>_vena_CapSIS_B2_R_6_248210771389054977</vt:lpstr>
      <vt:lpstr>_vena_CapSIS_B2_R_6_248210771393249281</vt:lpstr>
      <vt:lpstr>_vena_CapSIS_B2_R_6_248210771401637889</vt:lpstr>
      <vt:lpstr>_vena_CapSIS_B2_R_6_248210771418415105</vt:lpstr>
      <vt:lpstr>_vena_CapSIS_B2_R_6_248210771439386625</vt:lpstr>
      <vt:lpstr>_vena_CapSIS_B2_R_6_248210771443580929</vt:lpstr>
      <vt:lpstr>_vena_CapSIS_B2_R_6_248210771447775233</vt:lpstr>
      <vt:lpstr>_vena_CapSIS_B2_R_6_248210771451969537</vt:lpstr>
      <vt:lpstr>_vena_CapSIS_B2_R_6_248210771456163841</vt:lpstr>
      <vt:lpstr>_vena_CapSIS_B2_R_6_248210771456163841_1</vt:lpstr>
      <vt:lpstr>_vena_CapSIS_B2_R_6_248210771456163841_2</vt:lpstr>
      <vt:lpstr>_vena_CapSIS_B2_R_6_248210771464552449</vt:lpstr>
      <vt:lpstr>_vena_CapSIS_B2_R_6_248210771468746753</vt:lpstr>
      <vt:lpstr>_vena_CapSIS_B2_R_6_248210771472941057</vt:lpstr>
      <vt:lpstr>_vena_CapSIS_B2_R_6_248210771477135361</vt:lpstr>
      <vt:lpstr>_vena_CapSIS_B2_R_6_248210771485523969</vt:lpstr>
      <vt:lpstr>_vena_CapSIS_B2_R_6_248210771489718273</vt:lpstr>
      <vt:lpstr>_vena_CapSIS_B2_R_6_248210771493912577</vt:lpstr>
      <vt:lpstr>_vena_CapSIS_B2_R_6_248210771498106881</vt:lpstr>
      <vt:lpstr>_vena_CapSIS_B2_R_6_248210771506495488</vt:lpstr>
      <vt:lpstr>_vena_CapSIS_B2_R_6_248210771510689793</vt:lpstr>
      <vt:lpstr>_vena_CapSIS_B2_R_6_248210771514884097</vt:lpstr>
      <vt:lpstr>_vena_CapSIS_B2_R_6_248210771535855617</vt:lpstr>
      <vt:lpstr>_vena_CapSIS_B2_R_6_248210771540049921</vt:lpstr>
      <vt:lpstr>_vena_CapSIS_B2_R_6_248210771544244225</vt:lpstr>
      <vt:lpstr>_vena_CapSIS_B2_R_6_248210771556827137</vt:lpstr>
      <vt:lpstr>_vena_CapSIS_B2_R_6_248210771561021441</vt:lpstr>
      <vt:lpstr>_vena_CapSIS_B2_R_6_248210771565215745</vt:lpstr>
      <vt:lpstr>_vena_CapSIS_B2_R_6_248210771573604352</vt:lpstr>
      <vt:lpstr>_vena_CapSIS_B2_R_6_248210771577798657</vt:lpstr>
      <vt:lpstr>_vena_CapSIS_B2_R_6_248210771581992961</vt:lpstr>
      <vt:lpstr>_vena_CapSIS_B2_R_6_248210771586187265</vt:lpstr>
      <vt:lpstr>_vena_CapSIS_B2_R_6_266768037674614784</vt:lpstr>
      <vt:lpstr>_vena_CapSIS_B2_R_6_266768037674614784_1</vt:lpstr>
      <vt:lpstr>_vena_CapSIS_B2_R_6_266769003396595712</vt:lpstr>
      <vt:lpstr>_vena_CapSIS_B2_R_6_266769003396595712_1</vt:lpstr>
      <vt:lpstr>_vena_CapSIS_B2_R_6_266769057523564544</vt:lpstr>
      <vt:lpstr>_vena_CapSIS_B2_R_6_266769210523648000</vt:lpstr>
      <vt:lpstr>_vena_CapSIS_B2_R_6_266769210523648000_1</vt:lpstr>
      <vt:lpstr>_vena_CapSIS_B2_R_6_266769240000954368</vt:lpstr>
      <vt:lpstr>_vena_CapSIS_B2_R_6_266769480632893440</vt:lpstr>
      <vt:lpstr>_vena_CapSIS_B2_R_6_266769761273774080</vt:lpstr>
      <vt:lpstr>_vena_CapSIS_B2_R_6_266771225748307976</vt:lpstr>
      <vt:lpstr>_vena_CapSIS_B2_R_6_266776294786727936</vt:lpstr>
      <vt:lpstr>_vena_CapSIS_B2_R_6_266777560057774080</vt:lpstr>
      <vt:lpstr>_vena_CapSIS_B2_R_6_266782491321827328</vt:lpstr>
      <vt:lpstr>_vena_CapSIS_B2_R_9_273914228170817536</vt:lpstr>
      <vt:lpstr>_vena_CapSIS_B2_R_9_273914228170817536_1</vt:lpstr>
      <vt:lpstr>_vena_CapSIS_B2_R_9_273914228170817536_10</vt:lpstr>
      <vt:lpstr>_vena_CapSIS_B2_R_9_273914228170817536_11</vt:lpstr>
      <vt:lpstr>_vena_CapSIS_B2_R_9_273914228170817536_12</vt:lpstr>
      <vt:lpstr>_vena_CapSIS_B2_R_9_273914228170817536_13</vt:lpstr>
      <vt:lpstr>_vena_CapSIS_B2_R_9_273914228170817536_14</vt:lpstr>
      <vt:lpstr>_vena_CapSIS_B2_R_9_273914228170817536_15</vt:lpstr>
      <vt:lpstr>_vena_CapSIS_B2_R_9_273914228170817536_16</vt:lpstr>
      <vt:lpstr>_vena_CapSIS_B2_R_9_273914228170817536_17</vt:lpstr>
      <vt:lpstr>_vena_CapSIS_B2_R_9_273914228170817536_18</vt:lpstr>
      <vt:lpstr>_vena_CapSIS_B2_R_9_273914228170817536_19</vt:lpstr>
      <vt:lpstr>_vena_CapSIS_B2_R_9_273914228170817536_2</vt:lpstr>
      <vt:lpstr>_vena_CapSIS_B2_R_9_273914228170817536_20</vt:lpstr>
      <vt:lpstr>_vena_CapSIS_B2_R_9_273914228170817536_21</vt:lpstr>
      <vt:lpstr>_vena_CapSIS_B2_R_9_273914228170817536_22</vt:lpstr>
      <vt:lpstr>_vena_CapSIS_B2_R_9_273914228170817536_23</vt:lpstr>
      <vt:lpstr>_vena_CapSIS_B2_R_9_273914228170817536_24</vt:lpstr>
      <vt:lpstr>_vena_CapSIS_B2_R_9_273914228170817536_25</vt:lpstr>
      <vt:lpstr>_vena_CapSIS_B2_R_9_273914228170817536_26</vt:lpstr>
      <vt:lpstr>_vena_CapSIS_B2_R_9_273914228170817536_27</vt:lpstr>
      <vt:lpstr>_vena_CapSIS_B2_R_9_273914228170817536_28</vt:lpstr>
      <vt:lpstr>_vena_CapSIS_B2_R_9_273914228170817536_29</vt:lpstr>
      <vt:lpstr>_vena_CapSIS_B2_R_9_273914228170817536_3</vt:lpstr>
      <vt:lpstr>_vena_CapSIS_B2_R_9_273914228170817536_30</vt:lpstr>
      <vt:lpstr>_vena_CapSIS_B2_R_9_273914228170817536_31</vt:lpstr>
      <vt:lpstr>_vena_CapSIS_B2_R_9_273914228170817536_32</vt:lpstr>
      <vt:lpstr>_vena_CapSIS_B2_R_9_273914228170817536_33</vt:lpstr>
      <vt:lpstr>_vena_CapSIS_B2_R_9_273914228170817536_34</vt:lpstr>
      <vt:lpstr>_vena_CapSIS_B2_R_9_273914228170817536_35</vt:lpstr>
      <vt:lpstr>_vena_CapSIS_B2_R_9_273914228170817536_36</vt:lpstr>
      <vt:lpstr>_vena_CapSIS_B2_R_9_273914228170817536_37</vt:lpstr>
      <vt:lpstr>_vena_CapSIS_B2_R_9_273914228170817536_38</vt:lpstr>
      <vt:lpstr>_vena_CapSIS_B2_R_9_273914228170817536_39</vt:lpstr>
      <vt:lpstr>_vena_CapSIS_B2_R_9_273914228170817536_4</vt:lpstr>
      <vt:lpstr>_vena_CapSIS_B2_R_9_273914228170817536_40</vt:lpstr>
      <vt:lpstr>_vena_CapSIS_B2_R_9_273914228170817536_41</vt:lpstr>
      <vt:lpstr>_vena_CapSIS_B2_R_9_273914228170817536_42</vt:lpstr>
      <vt:lpstr>_vena_CapSIS_B2_R_9_273914228170817536_43</vt:lpstr>
      <vt:lpstr>_vena_CapSIS_B2_R_9_273914228170817536_44</vt:lpstr>
      <vt:lpstr>_vena_CapSIS_B2_R_9_273914228170817536_45</vt:lpstr>
      <vt:lpstr>_vena_CapSIS_B2_R_9_273914228170817536_46</vt:lpstr>
      <vt:lpstr>_vena_CapSIS_B2_R_9_273914228170817536_47</vt:lpstr>
      <vt:lpstr>_vena_CapSIS_B2_R_9_273914228170817536_48</vt:lpstr>
      <vt:lpstr>_vena_CapSIS_B2_R_9_273914228170817536_49</vt:lpstr>
      <vt:lpstr>_vena_CapSIS_B2_R_9_273914228170817536_5</vt:lpstr>
      <vt:lpstr>_vena_CapSIS_B2_R_9_273914228170817536_50</vt:lpstr>
      <vt:lpstr>_vena_CapSIS_B2_R_9_273914228170817536_51</vt:lpstr>
      <vt:lpstr>_vena_CapSIS_B2_R_9_273914228170817536_52</vt:lpstr>
      <vt:lpstr>_vena_CapSIS_B2_R_9_273914228170817536_53</vt:lpstr>
      <vt:lpstr>_vena_CapSIS_B2_R_9_273914228170817536_54</vt:lpstr>
      <vt:lpstr>_vena_CapSIS_B2_R_9_273914228170817536_55</vt:lpstr>
      <vt:lpstr>_vena_CapSIS_B2_R_9_273914228170817536_56</vt:lpstr>
      <vt:lpstr>_vena_CapSIS_B2_R_9_273914228170817536_57</vt:lpstr>
      <vt:lpstr>_vena_CapSIS_B2_R_9_273914228170817536_58</vt:lpstr>
      <vt:lpstr>_vena_CapSIS_B2_R_9_273914228170817536_59</vt:lpstr>
      <vt:lpstr>_vena_CapSIS_B2_R_9_273914228170817536_6</vt:lpstr>
      <vt:lpstr>_vena_CapSIS_B2_R_9_273914228170817536_60</vt:lpstr>
      <vt:lpstr>_vena_CapSIS_B2_R_9_273914228170817536_61</vt:lpstr>
      <vt:lpstr>_vena_CapSIS_B2_R_9_273914228170817536_62</vt:lpstr>
      <vt:lpstr>_vena_CapSIS_B2_R_9_273914228170817536_63</vt:lpstr>
      <vt:lpstr>_vena_CapSIS_B2_R_9_273914228170817536_64</vt:lpstr>
      <vt:lpstr>_vena_CapSIS_B2_R_9_273914228170817536_65</vt:lpstr>
      <vt:lpstr>_vena_CapSIS_B2_R_9_273914228170817536_66</vt:lpstr>
      <vt:lpstr>_vena_CapSIS_B2_R_9_273914228170817536_67</vt:lpstr>
      <vt:lpstr>_vena_CapSIS_B2_R_9_273914228170817536_68</vt:lpstr>
      <vt:lpstr>_vena_CapSIS_B2_R_9_273914228170817536_69</vt:lpstr>
      <vt:lpstr>_vena_CapSIS_B2_R_9_273914228170817536_7</vt:lpstr>
      <vt:lpstr>_vena_CapSIS_B2_R_9_273914228170817536_70</vt:lpstr>
      <vt:lpstr>_vena_CapSIS_B2_R_9_273914228170817536_71</vt:lpstr>
      <vt:lpstr>_vena_CapSIS_B2_R_9_273914228170817536_72</vt:lpstr>
      <vt:lpstr>_vena_CapSIS_B2_R_9_273914228170817536_73</vt:lpstr>
      <vt:lpstr>_vena_CapSIS_B2_R_9_273914228170817536_74</vt:lpstr>
      <vt:lpstr>_vena_CapSIS_B2_R_9_273914228170817536_75</vt:lpstr>
      <vt:lpstr>_vena_CapSIS_B2_R_9_273914228170817536_8</vt:lpstr>
      <vt:lpstr>_vena_CapSIS_B2_R_9_273914228170817536_9</vt:lpstr>
      <vt:lpstr>_vena_CapSIS_P_7_230871350242312192</vt:lpstr>
      <vt:lpstr>_vena_CapSIS_P_8_230873481838067712</vt:lpstr>
      <vt:lpstr>_vena_UserSelectCapitalSIS_P_5_261628056303828992</vt:lpstr>
      <vt:lpstr>'CCAR 9Q capital ratios'!Print_Area</vt:lpstr>
      <vt:lpstr>'CCAR 9Q capital ratios'!Print_Titles</vt:lpstr>
    </vt:vector>
  </TitlesOfParts>
  <Company>Oliver Wyman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Wanxin</dc:creator>
  <cp:lastModifiedBy>Cheng, Wanxin</cp:lastModifiedBy>
  <dcterms:created xsi:type="dcterms:W3CDTF">2009-11-16T01:59:02Z</dcterms:created>
  <dcterms:modified xsi:type="dcterms:W3CDTF">2016-06-03T19:05:25Z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{5B6B36D3-4EEE-429F-B971-17C274967199}</vt:lpwstr>
  </property>
</Properties>
</file>